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ERENCIA HIT\Desktop\"/>
    </mc:Choice>
  </mc:AlternateContent>
  <bookViews>
    <workbookView xWindow="0" yWindow="0" windowWidth="20490" windowHeight="7755"/>
  </bookViews>
  <sheets>
    <sheet name="2012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F92" i="1" l="1"/>
  <c r="C76" i="1"/>
  <c r="I16" i="1"/>
  <c r="I15" i="1"/>
  <c r="I17" i="1" s="1"/>
  <c r="I14" i="1"/>
  <c r="D15" i="1"/>
  <c r="E15" i="1"/>
  <c r="G18" i="1"/>
  <c r="C17" i="1"/>
  <c r="B17" i="1"/>
  <c r="E16" i="1"/>
  <c r="D16" i="1"/>
  <c r="E14" i="1"/>
  <c r="D14" i="1"/>
  <c r="C79" i="1"/>
  <c r="B79" i="1"/>
  <c r="F82" i="1"/>
  <c r="C82" i="1"/>
  <c r="B82" i="1"/>
  <c r="H102" i="1"/>
  <c r="I102" i="1" s="1"/>
  <c r="I101" i="1" s="1"/>
  <c r="I106" i="1" s="1"/>
  <c r="H100" i="1"/>
  <c r="I100" i="1" s="1"/>
  <c r="H99" i="1"/>
  <c r="I99" i="1" s="1"/>
  <c r="H98" i="1"/>
  <c r="I98" i="1" s="1"/>
  <c r="H97" i="1"/>
  <c r="I97" i="1" s="1"/>
  <c r="H96" i="1"/>
  <c r="I96" i="1" s="1"/>
  <c r="H95" i="1"/>
  <c r="I95" i="1" s="1"/>
  <c r="F37" i="1"/>
  <c r="F36" i="1"/>
  <c r="F35" i="1"/>
  <c r="F34" i="1"/>
  <c r="F33" i="1"/>
  <c r="F32" i="1"/>
  <c r="F30" i="1"/>
  <c r="F29" i="1"/>
  <c r="F28" i="1"/>
  <c r="F27" i="1"/>
  <c r="F26" i="1"/>
  <c r="D8" i="1"/>
  <c r="E8" i="1"/>
  <c r="E9" i="1"/>
  <c r="D9" i="1"/>
  <c r="F94" i="1"/>
  <c r="F105" i="1" s="1"/>
  <c r="B38" i="1"/>
  <c r="E102" i="1"/>
  <c r="E101" i="1" s="1"/>
  <c r="E106" i="1" s="1"/>
  <c r="D102" i="1"/>
  <c r="E98" i="1"/>
  <c r="D98" i="1"/>
  <c r="E97" i="1"/>
  <c r="D97" i="1"/>
  <c r="E96" i="1"/>
  <c r="D96" i="1"/>
  <c r="E95" i="1"/>
  <c r="D95" i="1"/>
  <c r="C99" i="1"/>
  <c r="E99" i="1" s="1"/>
  <c r="B94" i="1"/>
  <c r="B105" i="1" s="1"/>
  <c r="C100" i="1"/>
  <c r="C94" i="1" s="1"/>
  <c r="C105" i="1" s="1"/>
  <c r="F101" i="1"/>
  <c r="F106" i="1" s="1"/>
  <c r="D101" i="1"/>
  <c r="D106" i="1" s="1"/>
  <c r="C101" i="1"/>
  <c r="C106" i="1" s="1"/>
  <c r="B101" i="1"/>
  <c r="B106" i="1" s="1"/>
  <c r="H83" i="1"/>
  <c r="I83" i="1" s="1"/>
  <c r="E83" i="1"/>
  <c r="D83" i="1"/>
  <c r="C64" i="1"/>
  <c r="C58" i="1"/>
  <c r="C59" i="1"/>
  <c r="C47" i="1"/>
  <c r="E46" i="1"/>
  <c r="H101" i="1" l="1"/>
  <c r="H106" i="1" s="1"/>
  <c r="D99" i="1"/>
  <c r="E17" i="1"/>
  <c r="D17" i="1"/>
  <c r="D10" i="1"/>
  <c r="E10" i="1"/>
  <c r="H94" i="1"/>
  <c r="H105" i="1" s="1"/>
  <c r="I94" i="1"/>
  <c r="I105" i="1" s="1"/>
  <c r="D100" i="1"/>
  <c r="D94" i="1" s="1"/>
  <c r="D105" i="1" s="1"/>
  <c r="E100" i="1"/>
  <c r="E94" i="1" s="1"/>
  <c r="E105" i="1" s="1"/>
  <c r="D18" i="1" l="1"/>
  <c r="E18" i="1"/>
  <c r="E93" i="1" l="1"/>
  <c r="E92" i="1" s="1"/>
  <c r="D93" i="1"/>
  <c r="D92" i="1" s="1"/>
  <c r="E91" i="1"/>
  <c r="D91" i="1"/>
  <c r="E90" i="1"/>
  <c r="D90" i="1"/>
  <c r="E89" i="1"/>
  <c r="D89" i="1"/>
  <c r="E88" i="1"/>
  <c r="D88" i="1"/>
  <c r="E87" i="1"/>
  <c r="D87" i="1"/>
  <c r="E86" i="1"/>
  <c r="D86" i="1"/>
  <c r="E85" i="1"/>
  <c r="D85" i="1"/>
  <c r="E84" i="1"/>
  <c r="D84" i="1"/>
  <c r="D82" i="1" s="1"/>
  <c r="E81" i="1"/>
  <c r="D81" i="1"/>
  <c r="E80" i="1"/>
  <c r="D80" i="1"/>
  <c r="E78" i="1"/>
  <c r="D78" i="1"/>
  <c r="E77" i="1"/>
  <c r="D77" i="1"/>
  <c r="E76" i="1"/>
  <c r="D76" i="1"/>
  <c r="E75" i="1"/>
  <c r="D75" i="1"/>
  <c r="E69" i="1"/>
  <c r="D69" i="1"/>
  <c r="E68" i="1"/>
  <c r="D68" i="1"/>
  <c r="E67" i="1"/>
  <c r="D67" i="1"/>
  <c r="E66" i="1"/>
  <c r="D66" i="1"/>
  <c r="E64" i="1"/>
  <c r="D64" i="1"/>
  <c r="E63" i="1"/>
  <c r="D63" i="1"/>
  <c r="E62" i="1"/>
  <c r="D62" i="1"/>
  <c r="E61" i="1"/>
  <c r="D61" i="1"/>
  <c r="E60" i="1"/>
  <c r="D60" i="1"/>
  <c r="E59" i="1"/>
  <c r="D59" i="1"/>
  <c r="E58" i="1"/>
  <c r="D58" i="1"/>
  <c r="E57" i="1"/>
  <c r="D57" i="1"/>
  <c r="E55" i="1"/>
  <c r="D55" i="1"/>
  <c r="E54" i="1"/>
  <c r="D54" i="1"/>
  <c r="E53" i="1"/>
  <c r="D53" i="1"/>
  <c r="E51" i="1"/>
  <c r="D51" i="1"/>
  <c r="E50" i="1"/>
  <c r="D50" i="1"/>
  <c r="E49" i="1"/>
  <c r="D49" i="1"/>
  <c r="E47" i="1"/>
  <c r="D47" i="1"/>
  <c r="D46" i="1"/>
  <c r="E44" i="1"/>
  <c r="E43" i="1" s="1"/>
  <c r="D44" i="1"/>
  <c r="D43" i="1" s="1"/>
  <c r="E42" i="1"/>
  <c r="D42" i="1"/>
  <c r="E41" i="1"/>
  <c r="D41" i="1"/>
  <c r="E40" i="1"/>
  <c r="D40" i="1"/>
  <c r="E39" i="1"/>
  <c r="D39" i="1"/>
  <c r="D26" i="1"/>
  <c r="E26" i="1"/>
  <c r="D27" i="1"/>
  <c r="E27" i="1"/>
  <c r="D28" i="1"/>
  <c r="E28" i="1"/>
  <c r="D29" i="1"/>
  <c r="E29" i="1"/>
  <c r="D30" i="1"/>
  <c r="E30" i="1"/>
  <c r="D31" i="1"/>
  <c r="E31" i="1"/>
  <c r="D32" i="1"/>
  <c r="E32" i="1"/>
  <c r="D33" i="1"/>
  <c r="E33" i="1"/>
  <c r="D34" i="1"/>
  <c r="E34" i="1"/>
  <c r="D35" i="1"/>
  <c r="E35" i="1"/>
  <c r="D36" i="1"/>
  <c r="E36" i="1"/>
  <c r="D37" i="1"/>
  <c r="E37" i="1"/>
  <c r="E25" i="1"/>
  <c r="D25" i="1"/>
  <c r="D104" i="1"/>
  <c r="E104" i="1"/>
  <c r="B10" i="1"/>
  <c r="B18" i="1" s="1"/>
  <c r="E82" i="1" l="1"/>
  <c r="D38" i="1"/>
  <c r="E38" i="1"/>
  <c r="D79" i="1"/>
  <c r="E79" i="1"/>
  <c r="D52" i="1"/>
  <c r="D74" i="1"/>
  <c r="E74" i="1"/>
  <c r="D65" i="1"/>
  <c r="E65" i="1"/>
  <c r="D56" i="1"/>
  <c r="E56" i="1"/>
  <c r="E52" i="1"/>
  <c r="D48" i="1"/>
  <c r="E48" i="1"/>
  <c r="D45" i="1"/>
  <c r="E45" i="1"/>
  <c r="D24" i="1"/>
  <c r="E24" i="1"/>
  <c r="E103" i="1" l="1"/>
  <c r="E107" i="1" s="1"/>
  <c r="D103" i="1"/>
  <c r="D107" i="1" s="1"/>
  <c r="I8" i="1" l="1"/>
  <c r="C24" i="1" l="1"/>
  <c r="B92" i="1"/>
  <c r="B104" i="1" s="1"/>
  <c r="B74" i="1"/>
  <c r="B65" i="1"/>
  <c r="B56" i="1"/>
  <c r="B52" i="1"/>
  <c r="B48" i="1"/>
  <c r="B45" i="1"/>
  <c r="F38" i="1"/>
  <c r="C38" i="1"/>
  <c r="B24" i="1"/>
  <c r="B43" i="1" l="1"/>
  <c r="B103" i="1" s="1"/>
  <c r="B107" i="1" s="1"/>
  <c r="I9" i="1" l="1"/>
  <c r="H68" i="1"/>
  <c r="I68" i="1" s="1"/>
  <c r="C10" i="1" l="1"/>
  <c r="C18" i="1" s="1"/>
  <c r="C43" i="1" l="1"/>
  <c r="H89" i="1"/>
  <c r="I89" i="1" s="1"/>
  <c r="H81" i="1"/>
  <c r="I81" i="1" s="1"/>
  <c r="F79" i="1"/>
  <c r="H76" i="1"/>
  <c r="I76" i="1" s="1"/>
  <c r="H75" i="1"/>
  <c r="I75" i="1" s="1"/>
  <c r="F74" i="1"/>
  <c r="C74" i="1"/>
  <c r="F65" i="1"/>
  <c r="C65" i="1"/>
  <c r="H59" i="1"/>
  <c r="I59" i="1" s="1"/>
  <c r="H58" i="1"/>
  <c r="I58" i="1" s="1"/>
  <c r="H57" i="1"/>
  <c r="I57" i="1" s="1"/>
  <c r="H55" i="1"/>
  <c r="I55" i="1" s="1"/>
  <c r="F52" i="1"/>
  <c r="C52" i="1"/>
  <c r="H54" i="1"/>
  <c r="I54" i="1" s="1"/>
  <c r="H51" i="1"/>
  <c r="I51" i="1" s="1"/>
  <c r="F48" i="1"/>
  <c r="C48" i="1"/>
  <c r="H47" i="1"/>
  <c r="F45" i="1"/>
  <c r="C45" i="1"/>
  <c r="F43" i="1"/>
  <c r="H44" i="1"/>
  <c r="H43" i="1" s="1"/>
  <c r="F104" i="1"/>
  <c r="C92" i="1"/>
  <c r="C104" i="1" s="1"/>
  <c r="C56" i="1" l="1"/>
  <c r="C103" i="1" s="1"/>
  <c r="C107" i="1" s="1"/>
  <c r="I44" i="1"/>
  <c r="I43" i="1" s="1"/>
  <c r="I47" i="1"/>
  <c r="F56" i="1"/>
  <c r="F24" i="1"/>
  <c r="F103" i="1" l="1"/>
  <c r="F107" i="1" s="1"/>
  <c r="H46" i="1"/>
  <c r="H25" i="1"/>
  <c r="I46" i="1" l="1"/>
  <c r="I45" i="1" s="1"/>
  <c r="H45" i="1"/>
  <c r="I25" i="1"/>
  <c r="H31" i="1"/>
  <c r="H26" i="1"/>
  <c r="H10" i="1" l="1"/>
  <c r="H18" i="1" s="1"/>
  <c r="H84" i="1"/>
  <c r="H77" i="1"/>
  <c r="H62" i="1"/>
  <c r="H61" i="1"/>
  <c r="H50" i="1"/>
  <c r="H42" i="1"/>
  <c r="H41" i="1"/>
  <c r="I41" i="1" s="1"/>
  <c r="H40" i="1"/>
  <c r="H93" i="1"/>
  <c r="H91" i="1"/>
  <c r="H88" i="1"/>
  <c r="H87" i="1"/>
  <c r="H86" i="1"/>
  <c r="H85" i="1"/>
  <c r="H78" i="1"/>
  <c r="H69" i="1"/>
  <c r="I69" i="1" s="1"/>
  <c r="H67" i="1"/>
  <c r="H64" i="1"/>
  <c r="I64" i="1" s="1"/>
  <c r="H63" i="1"/>
  <c r="H60" i="1"/>
  <c r="H34" i="1"/>
  <c r="H39" i="1"/>
  <c r="H37" i="1"/>
  <c r="H36" i="1"/>
  <c r="H92" i="1" l="1"/>
  <c r="H104" i="1" s="1"/>
  <c r="H38" i="1"/>
  <c r="H74" i="1"/>
  <c r="H56" i="1"/>
  <c r="H80" i="1"/>
  <c r="H79" i="1" s="1"/>
  <c r="H66" i="1"/>
  <c r="H65" i="1" s="1"/>
  <c r="H53" i="1"/>
  <c r="H52" i="1" s="1"/>
  <c r="H49" i="1"/>
  <c r="H48" i="1" s="1"/>
  <c r="H28" i="1"/>
  <c r="H30" i="1"/>
  <c r="H35" i="1"/>
  <c r="H90" i="1"/>
  <c r="H82" i="1" s="1"/>
  <c r="H32" i="1"/>
  <c r="H27" i="1"/>
  <c r="H33" i="1"/>
  <c r="H29" i="1"/>
  <c r="I42" i="1"/>
  <c r="I31" i="1"/>
  <c r="H24" i="1" l="1"/>
  <c r="I84" i="1"/>
  <c r="I85" i="1"/>
  <c r="I86" i="1"/>
  <c r="I87" i="1"/>
  <c r="I88" i="1"/>
  <c r="I90" i="1"/>
  <c r="I91" i="1"/>
  <c r="I93" i="1"/>
  <c r="I92" i="1" s="1"/>
  <c r="I104" i="1" s="1"/>
  <c r="I80" i="1"/>
  <c r="I79" i="1" s="1"/>
  <c r="I78" i="1"/>
  <c r="I67" i="1"/>
  <c r="I63" i="1"/>
  <c r="I62" i="1"/>
  <c r="I61" i="1"/>
  <c r="I60" i="1"/>
  <c r="I53" i="1"/>
  <c r="I52" i="1" s="1"/>
  <c r="I50" i="1"/>
  <c r="I49" i="1"/>
  <c r="I26" i="1"/>
  <c r="I37" i="1"/>
  <c r="I36" i="1"/>
  <c r="I35" i="1"/>
  <c r="I34" i="1"/>
  <c r="I33" i="1"/>
  <c r="I32" i="1"/>
  <c r="I28" i="1"/>
  <c r="I29" i="1"/>
  <c r="I39" i="1"/>
  <c r="I27" i="1"/>
  <c r="B116" i="1"/>
  <c r="I82" i="1" l="1"/>
  <c r="H103" i="1"/>
  <c r="H107" i="1" s="1"/>
  <c r="I56" i="1"/>
  <c r="I48" i="1"/>
  <c r="I77" i="1"/>
  <c r="I74" i="1" s="1"/>
  <c r="I66" i="1"/>
  <c r="I65" i="1" s="1"/>
  <c r="I40" i="1"/>
  <c r="I38" i="1" s="1"/>
  <c r="I30" i="1"/>
  <c r="I24" i="1" s="1"/>
  <c r="I103" i="1" l="1"/>
  <c r="I107" i="1" s="1"/>
  <c r="H115" i="1"/>
  <c r="B122" i="1" l="1"/>
  <c r="I10" i="1"/>
  <c r="I18" i="1" s="1"/>
  <c r="B121" i="1" s="1"/>
  <c r="I109" i="1" l="1"/>
  <c r="H114" i="1" s="1"/>
  <c r="H116" i="1" s="1"/>
  <c r="B123" i="1" s="1"/>
  <c r="B124" i="1" s="1"/>
</calcChain>
</file>

<file path=xl/sharedStrings.xml><?xml version="1.0" encoding="utf-8"?>
<sst xmlns="http://schemas.openxmlformats.org/spreadsheetml/2006/main" count="137" uniqueCount="117">
  <si>
    <t>ANUAL</t>
  </si>
  <si>
    <t>TOTAL INGRESOS OPERACIONALES</t>
  </si>
  <si>
    <t>HONORARIOS</t>
  </si>
  <si>
    <t>Utiles, fotocopias y papeleria</t>
  </si>
  <si>
    <t>SEGUROS</t>
  </si>
  <si>
    <t>Transportes, fletes y acarreos</t>
  </si>
  <si>
    <t>TOTAL MES</t>
  </si>
  <si>
    <t>TOTAL GASTOS DE ADMINISTRACIÓN</t>
  </si>
  <si>
    <t>CONCEPTO</t>
  </si>
  <si>
    <t>GASTOS DE PERSONAL</t>
  </si>
  <si>
    <t>VALOR</t>
  </si>
  <si>
    <t>CANTIDAD</t>
  </si>
  <si>
    <t>TOTAL</t>
  </si>
  <si>
    <t>TOTAL INVERSIONES</t>
  </si>
  <si>
    <t>INGRESOS</t>
  </si>
  <si>
    <t>EGRESOS</t>
  </si>
  <si>
    <t>INVERSIONES</t>
  </si>
  <si>
    <t xml:space="preserve">SALDO FINAL </t>
  </si>
  <si>
    <t>CIRCULO DE TRABAJADORES DE LOS MEDIOS DE COMUNICACIÓN DE VÉLEZ Y RICAURTE - CICOVERI</t>
  </si>
  <si>
    <t>Nit.820.001.498 - 3</t>
  </si>
  <si>
    <t>Servicios sociales</t>
  </si>
  <si>
    <t>Cesantias</t>
  </si>
  <si>
    <t>Int / Cesantias</t>
  </si>
  <si>
    <t>Prima de servicios</t>
  </si>
  <si>
    <t xml:space="preserve">Vacaciones </t>
  </si>
  <si>
    <t>Aportes E.P.S</t>
  </si>
  <si>
    <t>Aportes Fondos de pensiones</t>
  </si>
  <si>
    <t>Aportes C.C.F</t>
  </si>
  <si>
    <t>Aportes I.C.B.F</t>
  </si>
  <si>
    <t>Aportes SENA</t>
  </si>
  <si>
    <t>Sueldos - (Operadores de audio)</t>
  </si>
  <si>
    <t>Vr. MES</t>
  </si>
  <si>
    <t>Vr.ANUAL</t>
  </si>
  <si>
    <t xml:space="preserve">Director </t>
  </si>
  <si>
    <t>Contador</t>
  </si>
  <si>
    <t>Horas extras y recargos</t>
  </si>
  <si>
    <t>ARRENDAMIENTOS</t>
  </si>
  <si>
    <t>Oficina - Emisora Hit Stereo</t>
  </si>
  <si>
    <t>CONTRIBUCIONES</t>
  </si>
  <si>
    <t>Acueducto y alcantarillado</t>
  </si>
  <si>
    <t>Energía eléctrica</t>
  </si>
  <si>
    <t>Servicio telefónico</t>
  </si>
  <si>
    <t>Envío correspondencia</t>
  </si>
  <si>
    <t>Ministerio de comunicaciones</t>
  </si>
  <si>
    <t>MANTENIMIENTOS</t>
  </si>
  <si>
    <t>Construcciones y edificaciones</t>
  </si>
  <si>
    <t>Equipo de computación y comunicación</t>
  </si>
  <si>
    <t>Flota y equipo de transporte</t>
  </si>
  <si>
    <t>GASTOS DE VIAJE</t>
  </si>
  <si>
    <t>Tiquetes, peajes</t>
  </si>
  <si>
    <t>DIVERSOS</t>
  </si>
  <si>
    <t>Libros, suscripciones, periodicos</t>
  </si>
  <si>
    <t>Gastos de representación y relaciones públicas</t>
  </si>
  <si>
    <t>Elementos de aseo y cafeteria</t>
  </si>
  <si>
    <t>Combustibles y lubricantes</t>
  </si>
  <si>
    <t>Taxis y buses</t>
  </si>
  <si>
    <t>Casino y restaurante</t>
  </si>
  <si>
    <t>Diversos</t>
  </si>
  <si>
    <t>Publicidad</t>
  </si>
  <si>
    <t>GASTOS OPERACIONALES DE ADMINISTRACIÓN</t>
  </si>
  <si>
    <t>GASTOS OPERACIONALES DE VENTAS</t>
  </si>
  <si>
    <t>TOTAL GASTOS DE VENTAS</t>
  </si>
  <si>
    <t>Reiversión excedentes sociales</t>
  </si>
  <si>
    <t>Polizas de cumplimiento</t>
  </si>
  <si>
    <t xml:space="preserve">Dotaciones </t>
  </si>
  <si>
    <t>Asesoría Jurídica</t>
  </si>
  <si>
    <t>Tecnico electrónico</t>
  </si>
  <si>
    <t xml:space="preserve">TOTAL GASTOS </t>
  </si>
  <si>
    <t>EJECUTADO</t>
  </si>
  <si>
    <t>IMPUESTOS</t>
  </si>
  <si>
    <t>De vehículos</t>
  </si>
  <si>
    <t>SOAT</t>
  </si>
  <si>
    <t>Aseo y vigilancia</t>
  </si>
  <si>
    <t>Operadores de audio</t>
  </si>
  <si>
    <t>Elaboración de facturación</t>
  </si>
  <si>
    <t>Otros - Estampillas</t>
  </si>
  <si>
    <t>Renovación Registro Mercantil</t>
  </si>
  <si>
    <t>Trámites y licencias</t>
  </si>
  <si>
    <t>Terrenos</t>
  </si>
  <si>
    <t>Peajes</t>
  </si>
  <si>
    <t xml:space="preserve">Actividades de radio - Publicidad </t>
  </si>
  <si>
    <t>Sayco</t>
  </si>
  <si>
    <t>Acinpro</t>
  </si>
  <si>
    <t>Ministerio de telecomunicaciones</t>
  </si>
  <si>
    <t xml:space="preserve">SERVICIOS </t>
  </si>
  <si>
    <t>INGRESOS 2019</t>
  </si>
  <si>
    <t>PRESUP.2019</t>
  </si>
  <si>
    <t>GASTOS 2019</t>
  </si>
  <si>
    <t>Aportes ARL</t>
  </si>
  <si>
    <t>PRESUPUESTO 2020</t>
  </si>
  <si>
    <t>INGRESOS 2020</t>
  </si>
  <si>
    <t>GASTOS 2020</t>
  </si>
  <si>
    <t>PRESUP.2020</t>
  </si>
  <si>
    <t>RELACIÓN DE INVERSIONES 2020</t>
  </si>
  <si>
    <t>DIFERENCIAS</t>
  </si>
  <si>
    <t>MENOR VALOR EJECUTADO</t>
  </si>
  <si>
    <t>MAYOR VALOR EJECUTADO</t>
  </si>
  <si>
    <t xml:space="preserve">Comisiones </t>
  </si>
  <si>
    <t>GASTOS FINANCIEROS</t>
  </si>
  <si>
    <t>Gastos bancarios</t>
  </si>
  <si>
    <t>Comisiones</t>
  </si>
  <si>
    <t>Intereses</t>
  </si>
  <si>
    <t>Descuentos comerciales</t>
  </si>
  <si>
    <t>Otros</t>
  </si>
  <si>
    <t>GASTOS POR IMPUESTOS</t>
  </si>
  <si>
    <t>Impuestos no deducibles</t>
  </si>
  <si>
    <t>Impuesto de renta y complementarios</t>
  </si>
  <si>
    <t>TOTAL GASTOS FINANCIEROS</t>
  </si>
  <si>
    <t>TOTAL GASTOS POR IMPUESTOS</t>
  </si>
  <si>
    <t>RESULTADO DEL EJERCICIO 2020</t>
  </si>
  <si>
    <t>INGRESOS NO OPERACIONALES 2019</t>
  </si>
  <si>
    <t>Financieros</t>
  </si>
  <si>
    <t>Recuperaciones</t>
  </si>
  <si>
    <t xml:space="preserve">TOTAL INGRESOS </t>
  </si>
  <si>
    <t>GASTOS LEGALES</t>
  </si>
  <si>
    <t>TOTAL INGRESOS NO OPERACIONALES</t>
  </si>
  <si>
    <t>CONSOLIDADO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</si>
</sst>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b/>
      <sz val="9"/>
      <name val="Arial Narrow"/>
      <family val="2"/>
    </font>
    <font>
      <sz val="9"/>
      <name val="Arial Narrow"/>
      <family val="2"/>
    </font>
    <font>
      <b/>
      <sz val="11"/>
      <name val="Arial Narrow"/>
      <family val="2"/>
    </font>
    <font>
      <b/>
      <sz val="7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/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/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3">
    <xf numFmtId="0" fontId="0" fillId="0" borderId="0" xfId="0"/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" fontId="5" fillId="0" borderId="0" xfId="1" applyNumberFormat="1" applyFont="1" applyFill="1" applyBorder="1" applyAlignment="1">
      <alignment vertical="center"/>
    </xf>
    <xf numFmtId="4" fontId="5" fillId="0" borderId="0" xfId="1" applyNumberFormat="1" applyFont="1" applyFill="1" applyBorder="1" applyAlignment="1">
      <alignment horizontal="center" vertical="center"/>
    </xf>
    <xf numFmtId="4" fontId="5" fillId="3" borderId="1" xfId="1" applyNumberFormat="1" applyFont="1" applyFill="1" applyBorder="1" applyAlignment="1">
      <alignment vertical="center"/>
    </xf>
    <xf numFmtId="4" fontId="6" fillId="0" borderId="0" xfId="0" applyNumberFormat="1" applyFont="1" applyBorder="1" applyAlignment="1">
      <alignment vertical="center"/>
    </xf>
    <xf numFmtId="4" fontId="6" fillId="0" borderId="0" xfId="1" applyNumberFormat="1" applyFont="1" applyBorder="1" applyAlignment="1">
      <alignment vertical="center"/>
    </xf>
    <xf numFmtId="4" fontId="6" fillId="0" borderId="0" xfId="0" applyNumberFormat="1" applyFont="1" applyBorder="1" applyAlignment="1">
      <alignment horizontal="center" vertical="center"/>
    </xf>
    <xf numFmtId="4" fontId="5" fillId="0" borderId="0" xfId="0" applyNumberFormat="1" applyFont="1" applyFill="1" applyBorder="1" applyAlignment="1">
      <alignment horizontal="center" vertical="center"/>
    </xf>
    <xf numFmtId="4" fontId="5" fillId="0" borderId="0" xfId="0" applyNumberFormat="1" applyFont="1" applyFill="1" applyBorder="1" applyAlignment="1">
      <alignment vertical="center"/>
    </xf>
    <xf numFmtId="4" fontId="6" fillId="0" borderId="0" xfId="0" applyNumberFormat="1" applyFont="1" applyFill="1" applyBorder="1" applyAlignment="1">
      <alignment vertical="center"/>
    </xf>
    <xf numFmtId="4" fontId="6" fillId="0" borderId="0" xfId="1" applyNumberFormat="1" applyFont="1" applyFill="1" applyBorder="1" applyAlignment="1">
      <alignment vertical="center"/>
    </xf>
    <xf numFmtId="4" fontId="6" fillId="0" borderId="0" xfId="1" applyNumberFormat="1" applyFont="1" applyFill="1" applyBorder="1" applyAlignment="1">
      <alignment horizontal="center" vertical="center"/>
    </xf>
    <xf numFmtId="4" fontId="5" fillId="0" borderId="0" xfId="1" applyNumberFormat="1" applyFont="1" applyBorder="1" applyAlignment="1">
      <alignment vertical="center"/>
    </xf>
    <xf numFmtId="4" fontId="6" fillId="0" borderId="0" xfId="0" applyNumberFormat="1" applyFont="1" applyFill="1" applyBorder="1" applyAlignment="1">
      <alignment horizontal="center" vertical="center"/>
    </xf>
    <xf numFmtId="4" fontId="3" fillId="0" borderId="0" xfId="1" applyNumberFormat="1" applyFont="1" applyBorder="1" applyAlignment="1">
      <alignment vertical="center"/>
    </xf>
    <xf numFmtId="4" fontId="3" fillId="0" borderId="0" xfId="1" applyNumberFormat="1" applyFont="1" applyBorder="1" applyAlignment="1">
      <alignment horizontal="center" vertical="center"/>
    </xf>
    <xf numFmtId="4" fontId="3" fillId="0" borderId="0" xfId="0" applyNumberFormat="1" applyFont="1" applyBorder="1" applyAlignment="1">
      <alignment vertical="center"/>
    </xf>
    <xf numFmtId="4" fontId="4" fillId="0" borderId="0" xfId="1" applyNumberFormat="1" applyFont="1" applyBorder="1" applyAlignment="1">
      <alignment vertical="center"/>
    </xf>
    <xf numFmtId="4" fontId="4" fillId="0" borderId="0" xfId="1" applyNumberFormat="1" applyFont="1" applyBorder="1" applyAlignment="1">
      <alignment horizontal="center" vertical="center"/>
    </xf>
    <xf numFmtId="4" fontId="3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" fontId="5" fillId="3" borderId="1" xfId="1" applyNumberFormat="1" applyFont="1" applyFill="1" applyBorder="1" applyAlignment="1">
      <alignment horizontal="center" vertical="center"/>
    </xf>
    <xf numFmtId="4" fontId="5" fillId="3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4" fontId="6" fillId="0" borderId="1" xfId="1" applyNumberFormat="1" applyFont="1" applyBorder="1" applyAlignment="1">
      <alignment vertical="center"/>
    </xf>
    <xf numFmtId="4" fontId="6" fillId="0" borderId="1" xfId="1" applyNumberFormat="1" applyFont="1" applyFill="1" applyBorder="1" applyAlignment="1">
      <alignment vertical="center"/>
    </xf>
    <xf numFmtId="4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4" fontId="5" fillId="2" borderId="1" xfId="0" applyNumberFormat="1" applyFont="1" applyFill="1" applyBorder="1" applyAlignment="1">
      <alignment vertical="center"/>
    </xf>
    <xf numFmtId="4" fontId="5" fillId="2" borderId="1" xfId="1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center" vertical="center"/>
    </xf>
    <xf numFmtId="4" fontId="5" fillId="2" borderId="1" xfId="1" applyNumberFormat="1" applyFont="1" applyFill="1" applyBorder="1" applyAlignment="1">
      <alignment horizontal="center" vertical="center"/>
    </xf>
    <xf numFmtId="4" fontId="6" fillId="0" borderId="1" xfId="1" applyNumberFormat="1" applyFont="1" applyBorder="1" applyAlignment="1">
      <alignment horizontal="center" vertical="center"/>
    </xf>
    <xf numFmtId="4" fontId="6" fillId="0" borderId="1" xfId="0" applyNumberFormat="1" applyFont="1" applyBorder="1" applyAlignment="1">
      <alignment vertical="center"/>
    </xf>
    <xf numFmtId="4" fontId="6" fillId="0" borderId="3" xfId="1" applyNumberFormat="1" applyFont="1" applyFill="1" applyBorder="1" applyAlignment="1">
      <alignment vertical="center"/>
    </xf>
    <xf numFmtId="4" fontId="5" fillId="3" borderId="3" xfId="1" applyNumberFormat="1" applyFont="1" applyFill="1" applyBorder="1" applyAlignment="1">
      <alignment vertical="center"/>
    </xf>
    <xf numFmtId="4" fontId="5" fillId="3" borderId="2" xfId="0" applyNumberFormat="1" applyFont="1" applyFill="1" applyBorder="1" applyAlignment="1">
      <alignment horizontal="center" vertical="center"/>
    </xf>
    <xf numFmtId="4" fontId="6" fillId="0" borderId="2" xfId="1" applyNumberFormat="1" applyFont="1" applyBorder="1" applyAlignment="1">
      <alignment vertical="center"/>
    </xf>
    <xf numFmtId="4" fontId="5" fillId="3" borderId="2" xfId="1" applyNumberFormat="1" applyFont="1" applyFill="1" applyBorder="1" applyAlignment="1">
      <alignment vertical="center"/>
    </xf>
    <xf numFmtId="4" fontId="5" fillId="2" borderId="3" xfId="0" applyNumberFormat="1" applyFont="1" applyFill="1" applyBorder="1" applyAlignment="1">
      <alignment vertical="center"/>
    </xf>
    <xf numFmtId="4" fontId="6" fillId="0" borderId="2" xfId="1" applyNumberFormat="1" applyFont="1" applyFill="1" applyBorder="1" applyAlignment="1">
      <alignment vertical="center"/>
    </xf>
    <xf numFmtId="4" fontId="5" fillId="2" borderId="2" xfId="0" applyNumberFormat="1" applyFont="1" applyFill="1" applyBorder="1" applyAlignment="1">
      <alignment vertical="center"/>
    </xf>
    <xf numFmtId="4" fontId="5" fillId="2" borderId="2" xfId="1" applyNumberFormat="1" applyFont="1" applyFill="1" applyBorder="1" applyAlignment="1">
      <alignment vertical="center"/>
    </xf>
    <xf numFmtId="4" fontId="5" fillId="3" borderId="3" xfId="0" applyNumberFormat="1" applyFont="1" applyFill="1" applyBorder="1" applyAlignment="1">
      <alignment horizontal="center" vertical="center"/>
    </xf>
    <xf numFmtId="4" fontId="6" fillId="0" borderId="3" xfId="0" applyNumberFormat="1" applyFont="1" applyBorder="1" applyAlignment="1">
      <alignment horizontal="center" vertical="center"/>
    </xf>
    <xf numFmtId="4" fontId="5" fillId="3" borderId="3" xfId="1" applyNumberFormat="1" applyFont="1" applyFill="1" applyBorder="1" applyAlignment="1">
      <alignment horizontal="center" vertical="center"/>
    </xf>
    <xf numFmtId="4" fontId="6" fillId="0" borderId="8" xfId="1" applyNumberFormat="1" applyFont="1" applyFill="1" applyBorder="1" applyAlignment="1">
      <alignment vertical="center"/>
    </xf>
    <xf numFmtId="4" fontId="5" fillId="3" borderId="8" xfId="1" applyNumberFormat="1" applyFont="1" applyFill="1" applyBorder="1" applyAlignment="1">
      <alignment vertical="center"/>
    </xf>
    <xf numFmtId="4" fontId="5" fillId="2" borderId="8" xfId="0" applyNumberFormat="1" applyFont="1" applyFill="1" applyBorder="1" applyAlignment="1">
      <alignment vertical="center"/>
    </xf>
    <xf numFmtId="0" fontId="6" fillId="0" borderId="9" xfId="0" applyFont="1" applyFill="1" applyBorder="1" applyAlignment="1">
      <alignment vertical="center"/>
    </xf>
    <xf numFmtId="4" fontId="6" fillId="0" borderId="9" xfId="1" applyNumberFormat="1" applyFont="1" applyFill="1" applyBorder="1" applyAlignment="1">
      <alignment vertical="center"/>
    </xf>
    <xf numFmtId="4" fontId="6" fillId="0" borderId="10" xfId="1" applyNumberFormat="1" applyFont="1" applyFill="1" applyBorder="1" applyAlignment="1">
      <alignment vertical="center"/>
    </xf>
    <xf numFmtId="4" fontId="6" fillId="0" borderId="11" xfId="1" applyNumberFormat="1" applyFont="1" applyFill="1" applyBorder="1" applyAlignment="1">
      <alignment vertical="center"/>
    </xf>
    <xf numFmtId="4" fontId="6" fillId="0" borderId="12" xfId="1" applyNumberFormat="1" applyFont="1" applyFill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13" xfId="0" applyFont="1" applyFill="1" applyBorder="1" applyAlignment="1">
      <alignment vertical="center"/>
    </xf>
    <xf numFmtId="4" fontId="6" fillId="0" borderId="13" xfId="1" applyNumberFormat="1" applyFont="1" applyFill="1" applyBorder="1" applyAlignment="1">
      <alignment vertical="center"/>
    </xf>
    <xf numFmtId="4" fontId="6" fillId="0" borderId="14" xfId="1" applyNumberFormat="1" applyFont="1" applyFill="1" applyBorder="1" applyAlignment="1">
      <alignment vertical="center"/>
    </xf>
    <xf numFmtId="4" fontId="6" fillId="0" borderId="15" xfId="1" applyNumberFormat="1" applyFont="1" applyFill="1" applyBorder="1" applyAlignment="1">
      <alignment vertical="center"/>
    </xf>
    <xf numFmtId="4" fontId="6" fillId="0" borderId="16" xfId="1" applyNumberFormat="1" applyFont="1" applyFill="1" applyBorder="1" applyAlignment="1">
      <alignment vertical="center"/>
    </xf>
    <xf numFmtId="0" fontId="6" fillId="0" borderId="13" xfId="0" applyFont="1" applyBorder="1" applyAlignment="1">
      <alignment horizontal="center" vertical="center"/>
    </xf>
    <xf numFmtId="4" fontId="5" fillId="3" borderId="1" xfId="1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" fontId="5" fillId="2" borderId="3" xfId="0" applyNumberFormat="1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center" vertical="center"/>
    </xf>
    <xf numFmtId="4" fontId="5" fillId="2" borderId="5" xfId="0" applyNumberFormat="1" applyFont="1" applyFill="1" applyBorder="1" applyAlignment="1">
      <alignment horizontal="center" vertical="center"/>
    </xf>
    <xf numFmtId="4" fontId="5" fillId="3" borderId="2" xfId="1" applyNumberFormat="1" applyFont="1" applyFill="1" applyBorder="1" applyAlignment="1">
      <alignment horizontal="center" vertical="center"/>
    </xf>
    <xf numFmtId="4" fontId="5" fillId="3" borderId="3" xfId="1" applyNumberFormat="1" applyFont="1" applyFill="1" applyBorder="1" applyAlignment="1">
      <alignment horizontal="center" vertical="center"/>
    </xf>
    <xf numFmtId="4" fontId="8" fillId="3" borderId="8" xfId="1" applyNumberFormat="1" applyFont="1" applyFill="1" applyBorder="1" applyAlignment="1">
      <alignment horizontal="center" vertical="center" wrapText="1"/>
    </xf>
    <xf numFmtId="4" fontId="8" fillId="3" borderId="2" xfId="1" applyNumberFormat="1" applyFont="1" applyFill="1" applyBorder="1" applyAlignment="1">
      <alignment horizontal="center" vertical="center" wrapText="1"/>
    </xf>
    <xf numFmtId="4" fontId="8" fillId="2" borderId="8" xfId="1" applyNumberFormat="1" applyFont="1" applyFill="1" applyBorder="1" applyAlignment="1">
      <alignment horizontal="center" vertical="center" wrapText="1"/>
    </xf>
    <xf numFmtId="4" fontId="8" fillId="2" borderId="2" xfId="1" applyNumberFormat="1" applyFont="1" applyFill="1" applyBorder="1" applyAlignment="1">
      <alignment horizontal="center" vertical="center" wrapText="1"/>
    </xf>
    <xf numFmtId="4" fontId="5" fillId="3" borderId="1" xfId="0" applyNumberFormat="1" applyFont="1" applyFill="1" applyBorder="1" applyAlignment="1">
      <alignment horizontal="center" vertical="center"/>
    </xf>
    <xf numFmtId="4" fontId="5" fillId="2" borderId="7" xfId="0" applyNumberFormat="1" applyFont="1" applyFill="1" applyBorder="1" applyAlignment="1">
      <alignment horizontal="center" vertical="center"/>
    </xf>
    <xf numFmtId="4" fontId="5" fillId="2" borderId="6" xfId="0" applyNumberFormat="1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I128"/>
  <sheetViews>
    <sheetView tabSelected="1" topLeftCell="A98" zoomScale="145" zoomScaleNormal="145" workbookViewId="0">
      <selection sqref="A1:I1"/>
    </sheetView>
  </sheetViews>
  <sheetFormatPr baseColWidth="10" defaultRowHeight="12" customHeight="1" x14ac:dyDescent="0.25"/>
  <cols>
    <col min="1" max="1" width="35" style="1" customWidth="1"/>
    <col min="2" max="2" width="11.5703125" style="23" bestFit="1" customWidth="1"/>
    <col min="3" max="4" width="11.5703125" style="23" customWidth="1"/>
    <col min="5" max="5" width="11.5703125" style="21" customWidth="1"/>
    <col min="6" max="6" width="11" style="26" bestFit="1" customWidth="1"/>
    <col min="7" max="7" width="9.28515625" style="26" bestFit="1" customWidth="1"/>
    <col min="8" max="8" width="11.5703125" style="23" bestFit="1" customWidth="1"/>
    <col min="9" max="9" width="12.28515625" style="23" customWidth="1"/>
    <col min="10" max="16384" width="11.42578125" style="1"/>
  </cols>
  <sheetData>
    <row r="1" spans="1:9" ht="12" customHeight="1" x14ac:dyDescent="0.25">
      <c r="A1" s="74" t="s">
        <v>18</v>
      </c>
      <c r="B1" s="74"/>
      <c r="C1" s="74"/>
      <c r="D1" s="74"/>
      <c r="E1" s="74"/>
      <c r="F1" s="74"/>
      <c r="G1" s="74"/>
      <c r="H1" s="74"/>
      <c r="I1" s="74"/>
    </row>
    <row r="2" spans="1:9" ht="12" customHeight="1" x14ac:dyDescent="0.25">
      <c r="A2" s="75" t="s">
        <v>19</v>
      </c>
      <c r="B2" s="75"/>
      <c r="C2" s="75"/>
      <c r="D2" s="75"/>
      <c r="E2" s="75"/>
      <c r="F2" s="75"/>
      <c r="G2" s="75"/>
      <c r="H2" s="75"/>
      <c r="I2" s="75"/>
    </row>
    <row r="3" spans="1:9" ht="12" customHeight="1" x14ac:dyDescent="0.25">
      <c r="A3" s="74" t="s">
        <v>89</v>
      </c>
      <c r="B3" s="74"/>
      <c r="C3" s="74"/>
      <c r="D3" s="74"/>
      <c r="E3" s="74"/>
      <c r="F3" s="74"/>
      <c r="G3" s="74"/>
      <c r="H3" s="74"/>
      <c r="I3" s="74"/>
    </row>
    <row r="6" spans="1:9" s="3" customFormat="1" ht="14.25" customHeight="1" x14ac:dyDescent="0.25">
      <c r="A6" s="72" t="s">
        <v>85</v>
      </c>
      <c r="B6" s="72"/>
      <c r="C6" s="80"/>
      <c r="D6" s="88" t="s">
        <v>95</v>
      </c>
      <c r="E6" s="89" t="s">
        <v>96</v>
      </c>
      <c r="F6" s="81" t="s">
        <v>90</v>
      </c>
      <c r="G6" s="82"/>
      <c r="H6" s="82"/>
      <c r="I6" s="82"/>
    </row>
    <row r="7" spans="1:9" s="3" customFormat="1" ht="12" customHeight="1" x14ac:dyDescent="0.25">
      <c r="A7" s="28" t="s">
        <v>8</v>
      </c>
      <c r="B7" s="29" t="s">
        <v>86</v>
      </c>
      <c r="C7" s="46" t="s">
        <v>68</v>
      </c>
      <c r="D7" s="88"/>
      <c r="E7" s="89"/>
      <c r="F7" s="53"/>
      <c r="G7" s="30" t="s">
        <v>11</v>
      </c>
      <c r="H7" s="30" t="s">
        <v>6</v>
      </c>
      <c r="I7" s="30" t="s">
        <v>0</v>
      </c>
    </row>
    <row r="8" spans="1:9" s="3" customFormat="1" ht="12" customHeight="1" x14ac:dyDescent="0.25">
      <c r="A8" s="31" t="s">
        <v>80</v>
      </c>
      <c r="B8" s="32">
        <v>124800000</v>
      </c>
      <c r="C8" s="47">
        <v>114823600</v>
      </c>
      <c r="D8" s="56">
        <f t="shared" ref="D8:D9" si="0">+IF((B8-C8)&gt;=0,(B8-C8),0)</f>
        <v>9976400</v>
      </c>
      <c r="E8" s="50">
        <f t="shared" ref="E8:E9" si="1">+IF((B8-C8)&lt;=0,(B8-C8),0)</f>
        <v>0</v>
      </c>
      <c r="F8" s="54"/>
      <c r="G8" s="27">
        <v>580</v>
      </c>
      <c r="H8" s="32">
        <v>10000000</v>
      </c>
      <c r="I8" s="32">
        <f>+H8*12</f>
        <v>120000000</v>
      </c>
    </row>
    <row r="9" spans="1:9" s="3" customFormat="1" ht="12" customHeight="1" x14ac:dyDescent="0.25">
      <c r="A9" s="31" t="s">
        <v>20</v>
      </c>
      <c r="B9" s="32">
        <v>25200000</v>
      </c>
      <c r="C9" s="47">
        <v>26860623</v>
      </c>
      <c r="D9" s="56">
        <f t="shared" si="0"/>
        <v>0</v>
      </c>
      <c r="E9" s="50">
        <f t="shared" si="1"/>
        <v>-1660623</v>
      </c>
      <c r="F9" s="54"/>
      <c r="G9" s="27">
        <v>380</v>
      </c>
      <c r="H9" s="32">
        <v>2300000</v>
      </c>
      <c r="I9" s="32">
        <f>+H9*12</f>
        <v>27600000</v>
      </c>
    </row>
    <row r="10" spans="1:9" s="3" customFormat="1" ht="12" customHeight="1" x14ac:dyDescent="0.25">
      <c r="A10" s="7" t="s">
        <v>1</v>
      </c>
      <c r="B10" s="10">
        <f>SUM(B8:B9)</f>
        <v>150000000</v>
      </c>
      <c r="C10" s="48">
        <f>SUM(C8:C9)</f>
        <v>141684223</v>
      </c>
      <c r="D10" s="57">
        <f t="shared" ref="D10:E10" si="2">SUM(D8:D9)</f>
        <v>9976400</v>
      </c>
      <c r="E10" s="48">
        <f t="shared" si="2"/>
        <v>-1660623</v>
      </c>
      <c r="F10" s="55"/>
      <c r="G10" s="29"/>
      <c r="H10" s="10">
        <f>SUM(H8:H9)</f>
        <v>12300000</v>
      </c>
      <c r="I10" s="10">
        <f>SUM(I8:I9)</f>
        <v>147600000</v>
      </c>
    </row>
    <row r="11" spans="1:9" s="3" customFormat="1" ht="8.25" customHeight="1" x14ac:dyDescent="0.25">
      <c r="A11" s="4"/>
      <c r="B11" s="8"/>
      <c r="C11" s="8"/>
      <c r="D11" s="8"/>
      <c r="E11" s="8"/>
      <c r="F11" s="9"/>
      <c r="G11" s="9"/>
      <c r="H11" s="8"/>
      <c r="I11" s="8"/>
    </row>
    <row r="12" spans="1:9" s="3" customFormat="1" ht="13.5" x14ac:dyDescent="0.25">
      <c r="A12" s="72" t="s">
        <v>110</v>
      </c>
      <c r="B12" s="72"/>
      <c r="C12" s="80"/>
      <c r="D12" s="88" t="s">
        <v>95</v>
      </c>
      <c r="E12" s="89" t="s">
        <v>96</v>
      </c>
      <c r="F12" s="81" t="s">
        <v>90</v>
      </c>
      <c r="G12" s="82"/>
      <c r="H12" s="82"/>
      <c r="I12" s="82"/>
    </row>
    <row r="13" spans="1:9" s="3" customFormat="1" ht="13.5" x14ac:dyDescent="0.25">
      <c r="A13" s="28" t="s">
        <v>8</v>
      </c>
      <c r="B13" s="29" t="s">
        <v>86</v>
      </c>
      <c r="C13" s="46" t="s">
        <v>68</v>
      </c>
      <c r="D13" s="88"/>
      <c r="E13" s="89"/>
      <c r="F13" s="53"/>
      <c r="G13" s="30" t="s">
        <v>11</v>
      </c>
      <c r="H13" s="30" t="s">
        <v>6</v>
      </c>
      <c r="I13" s="30" t="s">
        <v>0</v>
      </c>
    </row>
    <row r="14" spans="1:9" s="3" customFormat="1" ht="13.5" x14ac:dyDescent="0.25">
      <c r="A14" s="31" t="s">
        <v>111</v>
      </c>
      <c r="B14" s="32">
        <v>0</v>
      </c>
      <c r="C14" s="47">
        <v>442872</v>
      </c>
      <c r="D14" s="56">
        <f t="shared" ref="D14:D16" si="3">+IF((B14-C14)&gt;=0,(B14-C14),0)</f>
        <v>0</v>
      </c>
      <c r="E14" s="50">
        <f t="shared" ref="E14:E16" si="4">+IF((B14-C14)&lt;=0,(B14-C14),0)</f>
        <v>-442872</v>
      </c>
      <c r="F14" s="54"/>
      <c r="G14" s="27">
        <v>12</v>
      </c>
      <c r="H14" s="32">
        <v>38000</v>
      </c>
      <c r="I14" s="32">
        <f>+G14*H14</f>
        <v>456000</v>
      </c>
    </row>
    <row r="15" spans="1:9" s="3" customFormat="1" ht="13.5" x14ac:dyDescent="0.25">
      <c r="A15" s="31" t="s">
        <v>112</v>
      </c>
      <c r="B15" s="32">
        <v>0</v>
      </c>
      <c r="C15" s="47">
        <v>358839</v>
      </c>
      <c r="D15" s="56">
        <f t="shared" ref="D15" si="5">+IF((B15-C15)&gt;=0,(B15-C15),0)</f>
        <v>0</v>
      </c>
      <c r="E15" s="50">
        <f t="shared" ref="E15" si="6">+IF((B15-C15)&lt;=0,(B15-C15),0)</f>
        <v>-358839</v>
      </c>
      <c r="F15" s="54"/>
      <c r="G15" s="27">
        <v>5</v>
      </c>
      <c r="H15" s="32">
        <v>877803</v>
      </c>
      <c r="I15" s="32">
        <f>+G15*H15</f>
        <v>4389015</v>
      </c>
    </row>
    <row r="16" spans="1:9" s="3" customFormat="1" ht="13.5" x14ac:dyDescent="0.25">
      <c r="A16" s="31" t="s">
        <v>57</v>
      </c>
      <c r="B16" s="32">
        <v>0</v>
      </c>
      <c r="C16" s="47">
        <v>1013</v>
      </c>
      <c r="D16" s="56">
        <f t="shared" si="3"/>
        <v>0</v>
      </c>
      <c r="E16" s="50">
        <f t="shared" si="4"/>
        <v>-1013</v>
      </c>
      <c r="F16" s="54"/>
      <c r="G16" s="27">
        <v>12</v>
      </c>
      <c r="H16" s="32">
        <v>0</v>
      </c>
      <c r="I16" s="32">
        <f>+G16*H16</f>
        <v>0</v>
      </c>
    </row>
    <row r="17" spans="1:9" s="3" customFormat="1" ht="13.5" customHeight="1" x14ac:dyDescent="0.25">
      <c r="A17" s="7" t="s">
        <v>115</v>
      </c>
      <c r="B17" s="10">
        <f>SUM(B14:B16)</f>
        <v>0</v>
      </c>
      <c r="C17" s="48">
        <f>SUM(C14:C16)</f>
        <v>802724</v>
      </c>
      <c r="D17" s="57">
        <f t="shared" ref="D17" si="7">SUM(D14:D16)</f>
        <v>0</v>
      </c>
      <c r="E17" s="48">
        <f t="shared" ref="E17" si="8">SUM(E14:E16)</f>
        <v>-802724</v>
      </c>
      <c r="F17" s="45"/>
      <c r="G17" s="45"/>
      <c r="H17" s="10"/>
      <c r="I17" s="10">
        <f>SUM(I14:I16)</f>
        <v>4845015</v>
      </c>
    </row>
    <row r="18" spans="1:9" s="3" customFormat="1" ht="13.5" x14ac:dyDescent="0.25">
      <c r="A18" s="36" t="s">
        <v>113</v>
      </c>
      <c r="B18" s="38">
        <f t="shared" ref="B18" si="9">+B10+B17</f>
        <v>150000000</v>
      </c>
      <c r="C18" s="52">
        <f>+C10+C17</f>
        <v>142486947</v>
      </c>
      <c r="D18" s="38">
        <f t="shared" ref="D18:H18" si="10">+D10+D17</f>
        <v>9976400</v>
      </c>
      <c r="E18" s="52">
        <f t="shared" si="10"/>
        <v>-2463347</v>
      </c>
      <c r="F18" s="38"/>
      <c r="G18" s="38">
        <f t="shared" si="10"/>
        <v>0</v>
      </c>
      <c r="H18" s="38">
        <f t="shared" si="10"/>
        <v>12300000</v>
      </c>
      <c r="I18" s="38">
        <f>+I10+I17</f>
        <v>152445015</v>
      </c>
    </row>
    <row r="19" spans="1:9" s="3" customFormat="1" ht="13.5" x14ac:dyDescent="0.25">
      <c r="A19" s="4"/>
      <c r="B19" s="8"/>
      <c r="C19" s="8"/>
      <c r="D19" s="8"/>
      <c r="E19" s="8"/>
      <c r="F19" s="9"/>
      <c r="G19" s="9"/>
      <c r="H19" s="8"/>
      <c r="I19" s="8"/>
    </row>
    <row r="20" spans="1:9" s="3" customFormat="1" ht="13.5" x14ac:dyDescent="0.25">
      <c r="A20" s="4"/>
      <c r="B20" s="8"/>
      <c r="C20" s="8"/>
      <c r="D20" s="8"/>
      <c r="E20" s="8"/>
      <c r="F20" s="9"/>
      <c r="G20" s="9"/>
      <c r="H20" s="8"/>
      <c r="I20" s="8"/>
    </row>
    <row r="21" spans="1:9" s="3" customFormat="1" ht="14.25" customHeight="1" x14ac:dyDescent="0.25">
      <c r="A21" s="77" t="s">
        <v>87</v>
      </c>
      <c r="B21" s="78"/>
      <c r="C21" s="79"/>
      <c r="D21" s="91" t="s">
        <v>94</v>
      </c>
      <c r="E21" s="92"/>
      <c r="F21" s="83" t="s">
        <v>91</v>
      </c>
      <c r="G21" s="83"/>
      <c r="H21" s="83"/>
      <c r="I21" s="81"/>
    </row>
    <row r="22" spans="1:9" s="3" customFormat="1" ht="12" customHeight="1" x14ac:dyDescent="0.25">
      <c r="A22" s="7" t="s">
        <v>8</v>
      </c>
      <c r="B22" s="71" t="s">
        <v>86</v>
      </c>
      <c r="C22" s="84" t="s">
        <v>68</v>
      </c>
      <c r="D22" s="86" t="s">
        <v>95</v>
      </c>
      <c r="E22" s="87" t="s">
        <v>96</v>
      </c>
      <c r="F22" s="85" t="s">
        <v>92</v>
      </c>
      <c r="G22" s="71" t="s">
        <v>11</v>
      </c>
      <c r="H22" s="90" t="s">
        <v>31</v>
      </c>
      <c r="I22" s="71" t="s">
        <v>32</v>
      </c>
    </row>
    <row r="23" spans="1:9" s="3" customFormat="1" ht="12" customHeight="1" x14ac:dyDescent="0.25">
      <c r="A23" s="7" t="s">
        <v>59</v>
      </c>
      <c r="B23" s="71"/>
      <c r="C23" s="84"/>
      <c r="D23" s="86"/>
      <c r="E23" s="87"/>
      <c r="F23" s="85"/>
      <c r="G23" s="71"/>
      <c r="H23" s="90"/>
      <c r="I23" s="71"/>
    </row>
    <row r="24" spans="1:9" s="3" customFormat="1" ht="12" customHeight="1" x14ac:dyDescent="0.25">
      <c r="A24" s="7" t="s">
        <v>9</v>
      </c>
      <c r="B24" s="10">
        <f>SUM(B25:B37)</f>
        <v>47545920</v>
      </c>
      <c r="C24" s="48">
        <f>SUM(C25:C37)</f>
        <v>48399735</v>
      </c>
      <c r="D24" s="57">
        <f t="shared" ref="D24:E24" si="11">SUM(D25:D37)</f>
        <v>1428755</v>
      </c>
      <c r="E24" s="48">
        <f t="shared" si="11"/>
        <v>-2282570</v>
      </c>
      <c r="F24" s="45">
        <f t="shared" ref="F24:H24" si="12">SUM(F25:F37)</f>
        <v>1432556</v>
      </c>
      <c r="G24" s="10"/>
      <c r="H24" s="10">
        <f t="shared" si="12"/>
        <v>4329672</v>
      </c>
      <c r="I24" s="10">
        <f>SUM(I25:I37)</f>
        <v>50336064</v>
      </c>
    </row>
    <row r="25" spans="1:9" s="3" customFormat="1" ht="12" customHeight="1" x14ac:dyDescent="0.25">
      <c r="A25" s="31" t="s">
        <v>30</v>
      </c>
      <c r="B25" s="33">
        <v>29812176</v>
      </c>
      <c r="C25" s="50">
        <v>29080674</v>
      </c>
      <c r="D25" s="56">
        <f>+IF((B25-C25)&gt;=0,(B25-C25),0)</f>
        <v>731502</v>
      </c>
      <c r="E25" s="50">
        <f>+IF((B25-C25)&lt;=0,(B25-C25),0)</f>
        <v>0</v>
      </c>
      <c r="F25" s="44">
        <v>877803</v>
      </c>
      <c r="G25" s="27">
        <v>3</v>
      </c>
      <c r="H25" s="33">
        <f>+F25*G25</f>
        <v>2633409</v>
      </c>
      <c r="I25" s="33">
        <f>+H25*12</f>
        <v>31600908</v>
      </c>
    </row>
    <row r="26" spans="1:9" s="3" customFormat="1" ht="12" customHeight="1" x14ac:dyDescent="0.25">
      <c r="A26" s="31" t="s">
        <v>35</v>
      </c>
      <c r="B26" s="33">
        <v>414048</v>
      </c>
      <c r="C26" s="50">
        <v>459040</v>
      </c>
      <c r="D26" s="56">
        <f t="shared" ref="D26:D37" si="13">+IF((B26-C26)&gt;=0,(B26-C26),0)</f>
        <v>0</v>
      </c>
      <c r="E26" s="50">
        <f t="shared" ref="E26:E37" si="14">+IF((B26-C26)&lt;=0,(B26-C26),0)</f>
        <v>-44992</v>
      </c>
      <c r="F26" s="44">
        <f>+ROUND((F25/240*1.25),0)</f>
        <v>4572</v>
      </c>
      <c r="G26" s="27">
        <v>10</v>
      </c>
      <c r="H26" s="33">
        <f>+F26*G26</f>
        <v>45720</v>
      </c>
      <c r="I26" s="33">
        <f>+H26*12</f>
        <v>548640</v>
      </c>
    </row>
    <row r="27" spans="1:9" s="3" customFormat="1" ht="12" customHeight="1" x14ac:dyDescent="0.25">
      <c r="A27" s="31" t="s">
        <v>21</v>
      </c>
      <c r="B27" s="33">
        <v>2483352</v>
      </c>
      <c r="C27" s="50">
        <v>2496607</v>
      </c>
      <c r="D27" s="56">
        <f t="shared" si="13"/>
        <v>0</v>
      </c>
      <c r="E27" s="50">
        <f t="shared" si="14"/>
        <v>-13255</v>
      </c>
      <c r="F27" s="44">
        <f>+ROUND((F$25*0.0833),0)</f>
        <v>73121</v>
      </c>
      <c r="G27" s="27">
        <v>3</v>
      </c>
      <c r="H27" s="33">
        <f t="shared" ref="H27:H37" si="15">+F27*G27</f>
        <v>219363</v>
      </c>
      <c r="I27" s="33">
        <f t="shared" ref="I27:I62" si="16">+H27*12</f>
        <v>2632356</v>
      </c>
    </row>
    <row r="28" spans="1:9" s="3" customFormat="1" ht="12" customHeight="1" x14ac:dyDescent="0.25">
      <c r="A28" s="31" t="s">
        <v>22</v>
      </c>
      <c r="B28" s="33">
        <v>298116</v>
      </c>
      <c r="C28" s="50">
        <v>245563</v>
      </c>
      <c r="D28" s="56">
        <f t="shared" si="13"/>
        <v>52553</v>
      </c>
      <c r="E28" s="50">
        <f t="shared" si="14"/>
        <v>0</v>
      </c>
      <c r="F28" s="44">
        <f>+ROUND((F$25*0.01),0)</f>
        <v>8778</v>
      </c>
      <c r="G28" s="27">
        <v>3</v>
      </c>
      <c r="H28" s="33">
        <f t="shared" si="15"/>
        <v>26334</v>
      </c>
      <c r="I28" s="33">
        <f t="shared" si="16"/>
        <v>316008</v>
      </c>
    </row>
    <row r="29" spans="1:9" s="3" customFormat="1" ht="12" customHeight="1" x14ac:dyDescent="0.25">
      <c r="A29" s="31" t="s">
        <v>23</v>
      </c>
      <c r="B29" s="33">
        <v>2483352</v>
      </c>
      <c r="C29" s="50">
        <v>2081652</v>
      </c>
      <c r="D29" s="56">
        <f t="shared" si="13"/>
        <v>401700</v>
      </c>
      <c r="E29" s="50">
        <f t="shared" si="14"/>
        <v>0</v>
      </c>
      <c r="F29" s="44">
        <f>+ROUND((F$25*0.0833),0)</f>
        <v>73121</v>
      </c>
      <c r="G29" s="27">
        <v>3</v>
      </c>
      <c r="H29" s="33">
        <f t="shared" si="15"/>
        <v>219363</v>
      </c>
      <c r="I29" s="33">
        <f t="shared" si="16"/>
        <v>2632356</v>
      </c>
    </row>
    <row r="30" spans="1:9" s="3" customFormat="1" ht="12" customHeight="1" x14ac:dyDescent="0.25">
      <c r="A30" s="31" t="s">
        <v>24</v>
      </c>
      <c r="B30" s="33">
        <v>1243152</v>
      </c>
      <c r="C30" s="50">
        <v>1347139</v>
      </c>
      <c r="D30" s="56">
        <f t="shared" si="13"/>
        <v>0</v>
      </c>
      <c r="E30" s="50">
        <f t="shared" si="14"/>
        <v>-103987</v>
      </c>
      <c r="F30" s="44">
        <f>+ROUND((F$25*0.0417),0)</f>
        <v>36604</v>
      </c>
      <c r="G30" s="27">
        <v>3</v>
      </c>
      <c r="H30" s="33">
        <f t="shared" si="15"/>
        <v>109812</v>
      </c>
      <c r="I30" s="33">
        <f t="shared" si="16"/>
        <v>1317744</v>
      </c>
    </row>
    <row r="31" spans="1:9" s="3" customFormat="1" ht="12" customHeight="1" x14ac:dyDescent="0.25">
      <c r="A31" s="31" t="s">
        <v>64</v>
      </c>
      <c r="B31" s="33">
        <v>672000</v>
      </c>
      <c r="C31" s="50">
        <v>429000</v>
      </c>
      <c r="D31" s="56">
        <f t="shared" si="13"/>
        <v>243000</v>
      </c>
      <c r="E31" s="50">
        <f t="shared" si="14"/>
        <v>0</v>
      </c>
      <c r="F31" s="44">
        <v>60000</v>
      </c>
      <c r="G31" s="27">
        <v>3</v>
      </c>
      <c r="H31" s="33">
        <f>+F31*G31</f>
        <v>180000</v>
      </c>
      <c r="I31" s="33">
        <f>+H31*G31</f>
        <v>540000</v>
      </c>
    </row>
    <row r="32" spans="1:9" s="3" customFormat="1" ht="12" customHeight="1" x14ac:dyDescent="0.25">
      <c r="A32" s="31" t="s">
        <v>88</v>
      </c>
      <c r="B32" s="33">
        <v>152640</v>
      </c>
      <c r="C32" s="50">
        <v>214400</v>
      </c>
      <c r="D32" s="56">
        <f t="shared" si="13"/>
        <v>0</v>
      </c>
      <c r="E32" s="50">
        <f t="shared" si="14"/>
        <v>-61760</v>
      </c>
      <c r="F32" s="44">
        <f>+ROUND((F$25*0.00512),0)</f>
        <v>4494</v>
      </c>
      <c r="G32" s="27">
        <v>3</v>
      </c>
      <c r="H32" s="33">
        <f t="shared" si="15"/>
        <v>13482</v>
      </c>
      <c r="I32" s="33">
        <f t="shared" si="16"/>
        <v>161784</v>
      </c>
    </row>
    <row r="33" spans="1:9" s="3" customFormat="1" ht="12" customHeight="1" x14ac:dyDescent="0.25">
      <c r="A33" s="31" t="s">
        <v>25</v>
      </c>
      <c r="B33" s="33">
        <v>2534040</v>
      </c>
      <c r="C33" s="50">
        <v>3929260</v>
      </c>
      <c r="D33" s="56">
        <f t="shared" si="13"/>
        <v>0</v>
      </c>
      <c r="E33" s="50">
        <f t="shared" si="14"/>
        <v>-1395220</v>
      </c>
      <c r="F33" s="44">
        <f>+ROUND((F$25*0.085),0)</f>
        <v>74613</v>
      </c>
      <c r="G33" s="27">
        <v>3</v>
      </c>
      <c r="H33" s="33">
        <f t="shared" si="15"/>
        <v>223839</v>
      </c>
      <c r="I33" s="33">
        <f t="shared" si="16"/>
        <v>2686068</v>
      </c>
    </row>
    <row r="34" spans="1:9" s="3" customFormat="1" ht="12" customHeight="1" x14ac:dyDescent="0.25">
      <c r="A34" s="31" t="s">
        <v>26</v>
      </c>
      <c r="B34" s="33">
        <v>4769964</v>
      </c>
      <c r="C34" s="50">
        <v>5371100</v>
      </c>
      <c r="D34" s="56">
        <f t="shared" si="13"/>
        <v>0</v>
      </c>
      <c r="E34" s="50">
        <f t="shared" si="14"/>
        <v>-601136</v>
      </c>
      <c r="F34" s="44">
        <f>+ROUND((F$25*0.16),0)</f>
        <v>140448</v>
      </c>
      <c r="G34" s="27">
        <v>3</v>
      </c>
      <c r="H34" s="33">
        <f t="shared" si="15"/>
        <v>421344</v>
      </c>
      <c r="I34" s="33">
        <f t="shared" si="16"/>
        <v>5056128</v>
      </c>
    </row>
    <row r="35" spans="1:9" s="3" customFormat="1" ht="12" customHeight="1" x14ac:dyDescent="0.25">
      <c r="A35" s="31" t="s">
        <v>27</v>
      </c>
      <c r="B35" s="33">
        <v>1192500</v>
      </c>
      <c r="C35" s="50">
        <v>1220100</v>
      </c>
      <c r="D35" s="56">
        <f t="shared" si="13"/>
        <v>0</v>
      </c>
      <c r="E35" s="50">
        <f t="shared" si="14"/>
        <v>-27600</v>
      </c>
      <c r="F35" s="44">
        <f>+ROUND((F$25*0.04),0)</f>
        <v>35112</v>
      </c>
      <c r="G35" s="27">
        <v>3</v>
      </c>
      <c r="H35" s="33">
        <f t="shared" si="15"/>
        <v>105336</v>
      </c>
      <c r="I35" s="33">
        <f t="shared" si="16"/>
        <v>1264032</v>
      </c>
    </row>
    <row r="36" spans="1:9" s="3" customFormat="1" ht="12" customHeight="1" x14ac:dyDescent="0.25">
      <c r="A36" s="31" t="s">
        <v>28</v>
      </c>
      <c r="B36" s="33">
        <v>894348</v>
      </c>
      <c r="C36" s="50">
        <v>915020</v>
      </c>
      <c r="D36" s="56">
        <f t="shared" si="13"/>
        <v>0</v>
      </c>
      <c r="E36" s="50">
        <f t="shared" si="14"/>
        <v>-20672</v>
      </c>
      <c r="F36" s="44">
        <f>+ROUND((F$25*0.03),0)</f>
        <v>26334</v>
      </c>
      <c r="G36" s="27">
        <v>3</v>
      </c>
      <c r="H36" s="33">
        <f t="shared" si="15"/>
        <v>79002</v>
      </c>
      <c r="I36" s="33">
        <f t="shared" si="16"/>
        <v>948024</v>
      </c>
    </row>
    <row r="37" spans="1:9" s="3" customFormat="1" ht="12" customHeight="1" x14ac:dyDescent="0.25">
      <c r="A37" s="31" t="s">
        <v>29</v>
      </c>
      <c r="B37" s="33">
        <v>596232</v>
      </c>
      <c r="C37" s="50">
        <v>610180</v>
      </c>
      <c r="D37" s="56">
        <f t="shared" si="13"/>
        <v>0</v>
      </c>
      <c r="E37" s="50">
        <f t="shared" si="14"/>
        <v>-13948</v>
      </c>
      <c r="F37" s="44">
        <f>+ROUND((F$25*0.02),0)</f>
        <v>17556</v>
      </c>
      <c r="G37" s="27">
        <v>3</v>
      </c>
      <c r="H37" s="33">
        <f t="shared" si="15"/>
        <v>52668</v>
      </c>
      <c r="I37" s="33">
        <f t="shared" si="16"/>
        <v>632016</v>
      </c>
    </row>
    <row r="38" spans="1:9" s="3" customFormat="1" ht="12" customHeight="1" x14ac:dyDescent="0.25">
      <c r="A38" s="7" t="s">
        <v>2</v>
      </c>
      <c r="B38" s="10">
        <f>SUM(B39:B42)</f>
        <v>31205608</v>
      </c>
      <c r="C38" s="48">
        <f t="shared" ref="C38:I38" si="17">SUM(C39:C42)</f>
        <v>28659600</v>
      </c>
      <c r="D38" s="57">
        <f>SUM(D39:D42)</f>
        <v>2786008</v>
      </c>
      <c r="E38" s="48">
        <f t="shared" si="17"/>
        <v>-240000</v>
      </c>
      <c r="F38" s="45">
        <f t="shared" si="17"/>
        <v>2340421</v>
      </c>
      <c r="G38" s="10"/>
      <c r="H38" s="10">
        <f t="shared" si="17"/>
        <v>2340421</v>
      </c>
      <c r="I38" s="10">
        <f t="shared" si="17"/>
        <v>28085052</v>
      </c>
    </row>
    <row r="39" spans="1:9" s="3" customFormat="1" ht="12" customHeight="1" x14ac:dyDescent="0.25">
      <c r="A39" s="31" t="s">
        <v>34</v>
      </c>
      <c r="B39" s="33">
        <v>4200000</v>
      </c>
      <c r="C39" s="50">
        <v>4440000</v>
      </c>
      <c r="D39" s="56">
        <f t="shared" ref="D39:D42" si="18">+IF((B39-C39)&gt;=0,(B39-C39),0)</f>
        <v>0</v>
      </c>
      <c r="E39" s="50">
        <f t="shared" ref="E39:E42" si="19">+IF((B39-C39)&lt;=0,(B39-C39),0)</f>
        <v>-240000</v>
      </c>
      <c r="F39" s="44">
        <v>370000</v>
      </c>
      <c r="G39" s="27">
        <v>1</v>
      </c>
      <c r="H39" s="33">
        <f>+F39*G39</f>
        <v>370000</v>
      </c>
      <c r="I39" s="33">
        <f>+H39*12</f>
        <v>4440000</v>
      </c>
    </row>
    <row r="40" spans="1:9" s="3" customFormat="1" ht="12" customHeight="1" x14ac:dyDescent="0.25">
      <c r="A40" s="31" t="s">
        <v>33</v>
      </c>
      <c r="B40" s="33">
        <v>7681608</v>
      </c>
      <c r="C40" s="50">
        <v>7538600</v>
      </c>
      <c r="D40" s="56">
        <f t="shared" si="18"/>
        <v>143008</v>
      </c>
      <c r="E40" s="50">
        <f t="shared" si="19"/>
        <v>0</v>
      </c>
      <c r="F40" s="44">
        <v>581421</v>
      </c>
      <c r="G40" s="27">
        <v>1</v>
      </c>
      <c r="H40" s="33">
        <f t="shared" ref="H40:H42" si="20">+F40*G40</f>
        <v>581421</v>
      </c>
      <c r="I40" s="33">
        <f t="shared" si="16"/>
        <v>6977052</v>
      </c>
    </row>
    <row r="41" spans="1:9" s="3" customFormat="1" ht="12" customHeight="1" x14ac:dyDescent="0.25">
      <c r="A41" s="31" t="s">
        <v>66</v>
      </c>
      <c r="B41" s="33">
        <v>16824000</v>
      </c>
      <c r="C41" s="50">
        <v>16681000</v>
      </c>
      <c r="D41" s="56">
        <f t="shared" si="18"/>
        <v>143000</v>
      </c>
      <c r="E41" s="50">
        <f t="shared" si="19"/>
        <v>0</v>
      </c>
      <c r="F41" s="44">
        <v>1389000</v>
      </c>
      <c r="G41" s="27">
        <v>1</v>
      </c>
      <c r="H41" s="33">
        <f t="shared" si="20"/>
        <v>1389000</v>
      </c>
      <c r="I41" s="33">
        <f>+H41*12</f>
        <v>16668000</v>
      </c>
    </row>
    <row r="42" spans="1:9" s="3" customFormat="1" ht="12" customHeight="1" x14ac:dyDescent="0.25">
      <c r="A42" s="31" t="s">
        <v>65</v>
      </c>
      <c r="B42" s="33">
        <v>2500000</v>
      </c>
      <c r="C42" s="50">
        <v>0</v>
      </c>
      <c r="D42" s="56">
        <f t="shared" si="18"/>
        <v>2500000</v>
      </c>
      <c r="E42" s="50">
        <f t="shared" si="19"/>
        <v>0</v>
      </c>
      <c r="F42" s="44">
        <v>0</v>
      </c>
      <c r="G42" s="27">
        <v>1</v>
      </c>
      <c r="H42" s="33">
        <f t="shared" si="20"/>
        <v>0</v>
      </c>
      <c r="I42" s="33">
        <f>+H42*G42</f>
        <v>0</v>
      </c>
    </row>
    <row r="43" spans="1:9" s="3" customFormat="1" ht="12" customHeight="1" x14ac:dyDescent="0.25">
      <c r="A43" s="7" t="s">
        <v>69</v>
      </c>
      <c r="B43" s="10">
        <f>+B44</f>
        <v>230000</v>
      </c>
      <c r="C43" s="48">
        <f t="shared" ref="C43:E43" si="21">+C44</f>
        <v>297700</v>
      </c>
      <c r="D43" s="57">
        <f t="shared" si="21"/>
        <v>0</v>
      </c>
      <c r="E43" s="48">
        <f t="shared" si="21"/>
        <v>-67700</v>
      </c>
      <c r="F43" s="45">
        <f>+F44</f>
        <v>250000</v>
      </c>
      <c r="G43" s="10"/>
      <c r="H43" s="10">
        <f t="shared" ref="H43:I43" si="22">+H44</f>
        <v>250000</v>
      </c>
      <c r="I43" s="10">
        <f t="shared" si="22"/>
        <v>250000</v>
      </c>
    </row>
    <row r="44" spans="1:9" s="3" customFormat="1" ht="12" customHeight="1" x14ac:dyDescent="0.25">
      <c r="A44" s="35" t="s">
        <v>70</v>
      </c>
      <c r="B44" s="33">
        <v>230000</v>
      </c>
      <c r="C44" s="50">
        <v>297700</v>
      </c>
      <c r="D44" s="56">
        <f>+IF((B44-C44)&gt;=0,(B44-C44),0)</f>
        <v>0</v>
      </c>
      <c r="E44" s="50">
        <f>+IF((B44-C44)&lt;=0,(B44-C44),0)</f>
        <v>-67700</v>
      </c>
      <c r="F44" s="44">
        <v>250000</v>
      </c>
      <c r="G44" s="27">
        <v>1</v>
      </c>
      <c r="H44" s="33">
        <f t="shared" ref="H44" si="23">+F44*G44</f>
        <v>250000</v>
      </c>
      <c r="I44" s="33">
        <f>+H44*G44</f>
        <v>250000</v>
      </c>
    </row>
    <row r="45" spans="1:9" s="3" customFormat="1" ht="12" customHeight="1" x14ac:dyDescent="0.25">
      <c r="A45" s="7" t="s">
        <v>36</v>
      </c>
      <c r="B45" s="10">
        <f>SUM(B46:B47)</f>
        <v>10680000</v>
      </c>
      <c r="C45" s="48">
        <f t="shared" ref="C45:F45" si="24">SUM(C46:C47)</f>
        <v>1375000</v>
      </c>
      <c r="D45" s="57">
        <f t="shared" si="24"/>
        <v>9305000</v>
      </c>
      <c r="E45" s="48">
        <f t="shared" si="24"/>
        <v>0</v>
      </c>
      <c r="F45" s="45">
        <f t="shared" si="24"/>
        <v>890000</v>
      </c>
      <c r="G45" s="10"/>
      <c r="H45" s="10">
        <f t="shared" ref="H45" si="25">SUM(H46:H47)</f>
        <v>890000</v>
      </c>
      <c r="I45" s="10">
        <f t="shared" ref="I45" si="26">SUM(I46:I47)</f>
        <v>10680000</v>
      </c>
    </row>
    <row r="46" spans="1:9" s="3" customFormat="1" ht="12" customHeight="1" x14ac:dyDescent="0.25">
      <c r="A46" s="35" t="s">
        <v>37</v>
      </c>
      <c r="B46" s="33">
        <v>6360000</v>
      </c>
      <c r="C46" s="50">
        <v>1060000</v>
      </c>
      <c r="D46" s="56">
        <f t="shared" ref="D46:D47" si="27">+IF((B46-C46)&gt;=0,(B46-C46),0)</f>
        <v>5300000</v>
      </c>
      <c r="E46" s="50">
        <f>+IF((B46-C46)&lt;=0,(B46-C46),0)</f>
        <v>0</v>
      </c>
      <c r="F46" s="44">
        <v>530000</v>
      </c>
      <c r="G46" s="27">
        <v>1</v>
      </c>
      <c r="H46" s="33">
        <f>+F46*G46</f>
        <v>530000</v>
      </c>
      <c r="I46" s="33">
        <f>+H46*12</f>
        <v>6360000</v>
      </c>
    </row>
    <row r="47" spans="1:9" s="3" customFormat="1" ht="12" customHeight="1" x14ac:dyDescent="0.25">
      <c r="A47" s="35" t="s">
        <v>46</v>
      </c>
      <c r="B47" s="33">
        <v>4320000</v>
      </c>
      <c r="C47" s="50">
        <f>190000+125000</f>
        <v>315000</v>
      </c>
      <c r="D47" s="56">
        <f t="shared" si="27"/>
        <v>4005000</v>
      </c>
      <c r="E47" s="50">
        <f t="shared" ref="E47" si="28">+IF((B47-C47)&lt;=0,(B47-C47),0)</f>
        <v>0</v>
      </c>
      <c r="F47" s="44">
        <v>360000</v>
      </c>
      <c r="G47" s="27">
        <v>1</v>
      </c>
      <c r="H47" s="33">
        <f>+F47*G47</f>
        <v>360000</v>
      </c>
      <c r="I47" s="33">
        <f>+H47*12</f>
        <v>4320000</v>
      </c>
    </row>
    <row r="48" spans="1:9" s="3" customFormat="1" ht="12" customHeight="1" x14ac:dyDescent="0.25">
      <c r="A48" s="7" t="s">
        <v>38</v>
      </c>
      <c r="B48" s="10">
        <f>SUM(B49:B51)</f>
        <v>13200000</v>
      </c>
      <c r="C48" s="48">
        <f t="shared" ref="C48:F48" si="29">SUM(C49:C51)</f>
        <v>2804929</v>
      </c>
      <c r="D48" s="57">
        <f t="shared" si="29"/>
        <v>10395071</v>
      </c>
      <c r="E48" s="48">
        <f t="shared" si="29"/>
        <v>0</v>
      </c>
      <c r="F48" s="45">
        <f t="shared" si="29"/>
        <v>265000</v>
      </c>
      <c r="G48" s="10"/>
      <c r="H48" s="10">
        <f>SUM(H49:H51)</f>
        <v>265000</v>
      </c>
      <c r="I48" s="10">
        <f>SUM(I49:I51)</f>
        <v>3180000</v>
      </c>
    </row>
    <row r="49" spans="1:9" s="3" customFormat="1" ht="12" customHeight="1" x14ac:dyDescent="0.25">
      <c r="A49" s="35" t="s">
        <v>81</v>
      </c>
      <c r="B49" s="33">
        <v>2280000</v>
      </c>
      <c r="C49" s="50">
        <v>1267014</v>
      </c>
      <c r="D49" s="56">
        <f t="shared" ref="D49:D51" si="30">+IF((B49-C49)&gt;=0,(B49-C49),0)</f>
        <v>1012986</v>
      </c>
      <c r="E49" s="50">
        <f t="shared" ref="E49:E51" si="31">+IF((B49-C49)&lt;=0,(B49-C49),0)</f>
        <v>0</v>
      </c>
      <c r="F49" s="44">
        <v>180000</v>
      </c>
      <c r="G49" s="27">
        <v>1</v>
      </c>
      <c r="H49" s="33">
        <f t="shared" ref="H49:H50" si="32">+F49*G49</f>
        <v>180000</v>
      </c>
      <c r="I49" s="33">
        <f t="shared" si="16"/>
        <v>2160000</v>
      </c>
    </row>
    <row r="50" spans="1:9" s="3" customFormat="1" ht="12" customHeight="1" x14ac:dyDescent="0.25">
      <c r="A50" s="35" t="s">
        <v>82</v>
      </c>
      <c r="B50" s="33">
        <v>2280000</v>
      </c>
      <c r="C50" s="50">
        <v>920915</v>
      </c>
      <c r="D50" s="56">
        <f t="shared" si="30"/>
        <v>1359085</v>
      </c>
      <c r="E50" s="50">
        <f t="shared" si="31"/>
        <v>0</v>
      </c>
      <c r="F50" s="44">
        <v>85000</v>
      </c>
      <c r="G50" s="27">
        <v>1</v>
      </c>
      <c r="H50" s="33">
        <f t="shared" si="32"/>
        <v>85000</v>
      </c>
      <c r="I50" s="33">
        <f t="shared" si="16"/>
        <v>1020000</v>
      </c>
    </row>
    <row r="51" spans="1:9" s="3" customFormat="1" ht="12" customHeight="1" x14ac:dyDescent="0.25">
      <c r="A51" s="35" t="s">
        <v>83</v>
      </c>
      <c r="B51" s="33">
        <v>8640000</v>
      </c>
      <c r="C51" s="50">
        <v>617000</v>
      </c>
      <c r="D51" s="56">
        <f t="shared" si="30"/>
        <v>8023000</v>
      </c>
      <c r="E51" s="50">
        <f t="shared" si="31"/>
        <v>0</v>
      </c>
      <c r="F51" s="44">
        <v>0</v>
      </c>
      <c r="G51" s="27">
        <v>1</v>
      </c>
      <c r="H51" s="33">
        <f t="shared" ref="H51" si="33">+F51*G51</f>
        <v>0</v>
      </c>
      <c r="I51" s="33">
        <f t="shared" ref="I51" si="34">+H51*12</f>
        <v>0</v>
      </c>
    </row>
    <row r="52" spans="1:9" s="3" customFormat="1" ht="12" customHeight="1" x14ac:dyDescent="0.25">
      <c r="A52" s="7" t="s">
        <v>4</v>
      </c>
      <c r="B52" s="10">
        <f>SUM(B53:B55)</f>
        <v>1880000</v>
      </c>
      <c r="C52" s="48">
        <f t="shared" ref="C52:F52" si="35">+SUM(C53:C55)</f>
        <v>0</v>
      </c>
      <c r="D52" s="57">
        <f t="shared" si="35"/>
        <v>1880000</v>
      </c>
      <c r="E52" s="48">
        <f t="shared" si="35"/>
        <v>0</v>
      </c>
      <c r="F52" s="45">
        <f t="shared" si="35"/>
        <v>2000000</v>
      </c>
      <c r="G52" s="10"/>
      <c r="H52" s="10">
        <f t="shared" ref="H52:I52" si="36">+SUM(H53:H55)</f>
        <v>2000000</v>
      </c>
      <c r="I52" s="10">
        <f t="shared" si="36"/>
        <v>2000000</v>
      </c>
    </row>
    <row r="53" spans="1:9" s="3" customFormat="1" ht="12" customHeight="1" x14ac:dyDescent="0.25">
      <c r="A53" s="35" t="s">
        <v>63</v>
      </c>
      <c r="B53" s="33">
        <v>180000</v>
      </c>
      <c r="C53" s="50">
        <v>0</v>
      </c>
      <c r="D53" s="56">
        <f t="shared" ref="D53:D55" si="37">+IF((B53-C53)&gt;=0,(B53-C53),0)</f>
        <v>180000</v>
      </c>
      <c r="E53" s="50">
        <f t="shared" ref="E53:E55" si="38">+IF((B53-C53)&lt;=0,(B53-C53),0)</f>
        <v>0</v>
      </c>
      <c r="F53" s="44">
        <v>200000</v>
      </c>
      <c r="G53" s="27">
        <v>1</v>
      </c>
      <c r="H53" s="33">
        <f>+F53*G53</f>
        <v>200000</v>
      </c>
      <c r="I53" s="33">
        <f>+H53</f>
        <v>200000</v>
      </c>
    </row>
    <row r="54" spans="1:9" s="3" customFormat="1" ht="12" customHeight="1" x14ac:dyDescent="0.25">
      <c r="A54" s="35" t="s">
        <v>47</v>
      </c>
      <c r="B54" s="33">
        <v>960000</v>
      </c>
      <c r="C54" s="50">
        <v>0</v>
      </c>
      <c r="D54" s="56">
        <f t="shared" si="37"/>
        <v>960000</v>
      </c>
      <c r="E54" s="50">
        <f t="shared" si="38"/>
        <v>0</v>
      </c>
      <c r="F54" s="44">
        <v>1000000</v>
      </c>
      <c r="G54" s="27">
        <v>1</v>
      </c>
      <c r="H54" s="33">
        <f>+F54*G54</f>
        <v>1000000</v>
      </c>
      <c r="I54" s="33">
        <f>+H54</f>
        <v>1000000</v>
      </c>
    </row>
    <row r="55" spans="1:9" s="3" customFormat="1" ht="12" customHeight="1" x14ac:dyDescent="0.25">
      <c r="A55" s="35" t="s">
        <v>71</v>
      </c>
      <c r="B55" s="33">
        <v>740000</v>
      </c>
      <c r="C55" s="50">
        <v>0</v>
      </c>
      <c r="D55" s="56">
        <f t="shared" si="37"/>
        <v>740000</v>
      </c>
      <c r="E55" s="50">
        <f t="shared" si="38"/>
        <v>0</v>
      </c>
      <c r="F55" s="44">
        <v>800000</v>
      </c>
      <c r="G55" s="27">
        <v>1</v>
      </c>
      <c r="H55" s="33">
        <f>+F55*G55</f>
        <v>800000</v>
      </c>
      <c r="I55" s="33">
        <f>+H55</f>
        <v>800000</v>
      </c>
    </row>
    <row r="56" spans="1:9" s="3" customFormat="1" ht="12" customHeight="1" x14ac:dyDescent="0.25">
      <c r="A56" s="7" t="s">
        <v>84</v>
      </c>
      <c r="B56" s="10">
        <f>SUM(B57:B64)</f>
        <v>20550000</v>
      </c>
      <c r="C56" s="48">
        <f>SUM(C57:C64)</f>
        <v>22254608</v>
      </c>
      <c r="D56" s="57">
        <f>SUM(D57:D64)</f>
        <v>2665333</v>
      </c>
      <c r="E56" s="48">
        <f>SUM(E57:E64)</f>
        <v>-4369941</v>
      </c>
      <c r="F56" s="45">
        <f>SUM(F57:F64)</f>
        <v>2080000</v>
      </c>
      <c r="G56" s="10"/>
      <c r="H56" s="10">
        <f>SUM(H57:H64)</f>
        <v>2080000</v>
      </c>
      <c r="I56" s="10">
        <f>SUM(I57:I64)</f>
        <v>22210000</v>
      </c>
    </row>
    <row r="57" spans="1:9" s="3" customFormat="1" ht="12" customHeight="1" x14ac:dyDescent="0.25">
      <c r="A57" s="35" t="s">
        <v>72</v>
      </c>
      <c r="B57" s="33">
        <v>1440000</v>
      </c>
      <c r="C57" s="50">
        <v>1383800</v>
      </c>
      <c r="D57" s="56">
        <f t="shared" ref="D57:D64" si="39">+IF((B57-C57)&gt;=0,(B57-C57),0)</f>
        <v>56200</v>
      </c>
      <c r="E57" s="50">
        <f t="shared" ref="E57:E64" si="40">+IF((B57-C57)&lt;=0,(B57-C57),0)</f>
        <v>0</v>
      </c>
      <c r="F57" s="44">
        <v>0</v>
      </c>
      <c r="G57" s="27">
        <v>1</v>
      </c>
      <c r="H57" s="33">
        <f t="shared" ref="H57" si="41">+F57*G57</f>
        <v>0</v>
      </c>
      <c r="I57" s="33">
        <f t="shared" ref="I57" si="42">+H57*12</f>
        <v>0</v>
      </c>
    </row>
    <row r="58" spans="1:9" s="3" customFormat="1" ht="12" customHeight="1" x14ac:dyDescent="0.25">
      <c r="A58" s="35" t="s">
        <v>73</v>
      </c>
      <c r="B58" s="33">
        <v>8640000</v>
      </c>
      <c r="C58" s="50">
        <f>13560841-800000</f>
        <v>12760841</v>
      </c>
      <c r="D58" s="56">
        <f t="shared" si="39"/>
        <v>0</v>
      </c>
      <c r="E58" s="50">
        <f t="shared" si="40"/>
        <v>-4120841</v>
      </c>
      <c r="F58" s="44">
        <v>1100000</v>
      </c>
      <c r="G58" s="27">
        <v>1</v>
      </c>
      <c r="H58" s="33">
        <f t="shared" ref="H58" si="43">+F58*G58</f>
        <v>1100000</v>
      </c>
      <c r="I58" s="33">
        <f t="shared" ref="I58" si="44">+H58*12</f>
        <v>13200000</v>
      </c>
    </row>
    <row r="59" spans="1:9" s="3" customFormat="1" ht="12" customHeight="1" x14ac:dyDescent="0.25">
      <c r="A59" s="35" t="s">
        <v>74</v>
      </c>
      <c r="B59" s="33">
        <v>1320000</v>
      </c>
      <c r="C59" s="50">
        <f>80000*10</f>
        <v>800000</v>
      </c>
      <c r="D59" s="56">
        <f t="shared" si="39"/>
        <v>520000</v>
      </c>
      <c r="E59" s="50">
        <f t="shared" si="40"/>
        <v>0</v>
      </c>
      <c r="F59" s="44">
        <v>110000</v>
      </c>
      <c r="G59" s="27">
        <v>1</v>
      </c>
      <c r="H59" s="33">
        <f t="shared" ref="H59" si="45">+F59*G59</f>
        <v>110000</v>
      </c>
      <c r="I59" s="33">
        <f t="shared" ref="I59" si="46">+H59*12</f>
        <v>1320000</v>
      </c>
    </row>
    <row r="60" spans="1:9" s="3" customFormat="1" ht="12" customHeight="1" x14ac:dyDescent="0.25">
      <c r="A60" s="35" t="s">
        <v>39</v>
      </c>
      <c r="B60" s="33">
        <v>720000</v>
      </c>
      <c r="C60" s="50">
        <v>254800</v>
      </c>
      <c r="D60" s="56">
        <f t="shared" si="39"/>
        <v>465200</v>
      </c>
      <c r="E60" s="50">
        <f t="shared" si="40"/>
        <v>0</v>
      </c>
      <c r="F60" s="44">
        <v>30000</v>
      </c>
      <c r="G60" s="27">
        <v>1</v>
      </c>
      <c r="H60" s="33">
        <f t="shared" ref="H60:H64" si="47">+F60*G60</f>
        <v>30000</v>
      </c>
      <c r="I60" s="33">
        <f t="shared" si="16"/>
        <v>360000</v>
      </c>
    </row>
    <row r="61" spans="1:9" s="3" customFormat="1" ht="12" customHeight="1" x14ac:dyDescent="0.25">
      <c r="A61" s="35" t="s">
        <v>40</v>
      </c>
      <c r="B61" s="33">
        <v>5400000</v>
      </c>
      <c r="C61" s="50">
        <v>4188320</v>
      </c>
      <c r="D61" s="56">
        <f t="shared" si="39"/>
        <v>1211680</v>
      </c>
      <c r="E61" s="50">
        <f t="shared" si="40"/>
        <v>0</v>
      </c>
      <c r="F61" s="44">
        <v>380000</v>
      </c>
      <c r="G61" s="27">
        <v>1</v>
      </c>
      <c r="H61" s="33">
        <f t="shared" si="47"/>
        <v>380000</v>
      </c>
      <c r="I61" s="33">
        <f t="shared" si="16"/>
        <v>4560000</v>
      </c>
    </row>
    <row r="62" spans="1:9" s="3" customFormat="1" ht="12" customHeight="1" x14ac:dyDescent="0.25">
      <c r="A62" s="35" t="s">
        <v>41</v>
      </c>
      <c r="B62" s="33">
        <v>2760000</v>
      </c>
      <c r="C62" s="50">
        <v>2498747</v>
      </c>
      <c r="D62" s="56">
        <f t="shared" si="39"/>
        <v>261253</v>
      </c>
      <c r="E62" s="50">
        <f t="shared" si="40"/>
        <v>0</v>
      </c>
      <c r="F62" s="44">
        <v>210000</v>
      </c>
      <c r="G62" s="27">
        <v>1</v>
      </c>
      <c r="H62" s="33">
        <f t="shared" si="47"/>
        <v>210000</v>
      </c>
      <c r="I62" s="33">
        <f t="shared" si="16"/>
        <v>2520000</v>
      </c>
    </row>
    <row r="63" spans="1:9" s="3" customFormat="1" ht="12" customHeight="1" x14ac:dyDescent="0.25">
      <c r="A63" s="35" t="s">
        <v>42</v>
      </c>
      <c r="B63" s="33">
        <v>30000</v>
      </c>
      <c r="C63" s="50">
        <v>279100</v>
      </c>
      <c r="D63" s="56">
        <f t="shared" si="39"/>
        <v>0</v>
      </c>
      <c r="E63" s="50">
        <f t="shared" si="40"/>
        <v>-249100</v>
      </c>
      <c r="F63" s="44">
        <v>100000</v>
      </c>
      <c r="G63" s="27">
        <v>1</v>
      </c>
      <c r="H63" s="33">
        <f t="shared" si="47"/>
        <v>100000</v>
      </c>
      <c r="I63" s="33">
        <f>+H63</f>
        <v>100000</v>
      </c>
    </row>
    <row r="64" spans="1:9" s="3" customFormat="1" ht="12" customHeight="1" x14ac:dyDescent="0.25">
      <c r="A64" s="35" t="s">
        <v>5</v>
      </c>
      <c r="B64" s="33">
        <v>240000</v>
      </c>
      <c r="C64" s="50">
        <f>59000+30000</f>
        <v>89000</v>
      </c>
      <c r="D64" s="56">
        <f t="shared" si="39"/>
        <v>151000</v>
      </c>
      <c r="E64" s="50">
        <f t="shared" si="40"/>
        <v>0</v>
      </c>
      <c r="F64" s="44">
        <v>150000</v>
      </c>
      <c r="G64" s="27">
        <v>1</v>
      </c>
      <c r="H64" s="33">
        <f t="shared" si="47"/>
        <v>150000</v>
      </c>
      <c r="I64" s="33">
        <f>+H64</f>
        <v>150000</v>
      </c>
    </row>
    <row r="65" spans="1:9" s="3" customFormat="1" ht="12" customHeight="1" x14ac:dyDescent="0.25">
      <c r="A65" s="7" t="s">
        <v>114</v>
      </c>
      <c r="B65" s="10">
        <f>SUM(B66:B69)</f>
        <v>2974000</v>
      </c>
      <c r="C65" s="48">
        <f t="shared" ref="C65:F65" si="48">SUM(C66:C69)</f>
        <v>1936461</v>
      </c>
      <c r="D65" s="57">
        <f t="shared" si="48"/>
        <v>1200000</v>
      </c>
      <c r="E65" s="48">
        <f t="shared" si="48"/>
        <v>-162461</v>
      </c>
      <c r="F65" s="45">
        <f t="shared" si="48"/>
        <v>2760000</v>
      </c>
      <c r="G65" s="10"/>
      <c r="H65" s="10">
        <f t="shared" ref="H65:I65" si="49">SUM(H66:H69)</f>
        <v>3420000</v>
      </c>
      <c r="I65" s="10">
        <f t="shared" si="49"/>
        <v>3420000</v>
      </c>
    </row>
    <row r="66" spans="1:9" s="3" customFormat="1" ht="12" customHeight="1" x14ac:dyDescent="0.25">
      <c r="A66" s="35" t="s">
        <v>43</v>
      </c>
      <c r="B66" s="33">
        <v>1200000</v>
      </c>
      <c r="C66" s="50">
        <v>0</v>
      </c>
      <c r="D66" s="56">
        <f t="shared" ref="D66:D69" si="50">+IF((B66-C66)&gt;=0,(B66-C66),0)</f>
        <v>1200000</v>
      </c>
      <c r="E66" s="50">
        <f t="shared" ref="E66:E69" si="51">+IF((B66-C66)&lt;=0,(B66-C66),0)</f>
        <v>0</v>
      </c>
      <c r="F66" s="44">
        <v>1200000</v>
      </c>
      <c r="G66" s="27">
        <v>1</v>
      </c>
      <c r="H66" s="33">
        <f t="shared" ref="H66:H69" si="52">+F66*G66</f>
        <v>1200000</v>
      </c>
      <c r="I66" s="33">
        <f>+H66</f>
        <v>1200000</v>
      </c>
    </row>
    <row r="67" spans="1:9" s="3" customFormat="1" ht="12" customHeight="1" x14ac:dyDescent="0.25">
      <c r="A67" s="35" t="s">
        <v>76</v>
      </c>
      <c r="B67" s="33">
        <v>1200000</v>
      </c>
      <c r="C67" s="50">
        <v>1248800</v>
      </c>
      <c r="D67" s="56">
        <f t="shared" si="50"/>
        <v>0</v>
      </c>
      <c r="E67" s="50">
        <f t="shared" si="51"/>
        <v>-48800</v>
      </c>
      <c r="F67" s="44">
        <v>1400000</v>
      </c>
      <c r="G67" s="27">
        <v>1</v>
      </c>
      <c r="H67" s="33">
        <f t="shared" si="52"/>
        <v>1400000</v>
      </c>
      <c r="I67" s="33">
        <f>+H67</f>
        <v>1400000</v>
      </c>
    </row>
    <row r="68" spans="1:9" s="3" customFormat="1" ht="12" customHeight="1" x14ac:dyDescent="0.25">
      <c r="A68" s="59" t="s">
        <v>77</v>
      </c>
      <c r="B68" s="60">
        <v>52000</v>
      </c>
      <c r="C68" s="61">
        <v>60411</v>
      </c>
      <c r="D68" s="62">
        <f t="shared" si="50"/>
        <v>0</v>
      </c>
      <c r="E68" s="61">
        <f t="shared" si="51"/>
        <v>-8411</v>
      </c>
      <c r="F68" s="63">
        <v>100000</v>
      </c>
      <c r="G68" s="64">
        <v>1</v>
      </c>
      <c r="H68" s="60">
        <f t="shared" ref="H68" si="53">+F68*G68</f>
        <v>100000</v>
      </c>
      <c r="I68" s="60">
        <f>+H68</f>
        <v>100000</v>
      </c>
    </row>
    <row r="69" spans="1:9" s="3" customFormat="1" ht="12" customHeight="1" x14ac:dyDescent="0.25">
      <c r="A69" s="35" t="s">
        <v>75</v>
      </c>
      <c r="B69" s="33">
        <v>522000</v>
      </c>
      <c r="C69" s="50">
        <v>627250</v>
      </c>
      <c r="D69" s="56">
        <f t="shared" si="50"/>
        <v>0</v>
      </c>
      <c r="E69" s="50">
        <f t="shared" si="51"/>
        <v>-105250</v>
      </c>
      <c r="F69" s="44">
        <v>60000</v>
      </c>
      <c r="G69" s="27">
        <v>12</v>
      </c>
      <c r="H69" s="33">
        <f t="shared" si="52"/>
        <v>720000</v>
      </c>
      <c r="I69" s="33">
        <f>+H69</f>
        <v>720000</v>
      </c>
    </row>
    <row r="70" spans="1:9" s="3" customFormat="1" ht="12" customHeight="1" x14ac:dyDescent="0.25">
      <c r="A70" s="6"/>
      <c r="B70" s="17"/>
      <c r="C70" s="17"/>
      <c r="D70" s="17"/>
      <c r="E70" s="17"/>
      <c r="F70" s="17"/>
      <c r="G70" s="5"/>
      <c r="H70" s="17"/>
      <c r="I70" s="17"/>
    </row>
    <row r="71" spans="1:9" s="3" customFormat="1" ht="12" customHeight="1" x14ac:dyDescent="0.25">
      <c r="A71" s="6"/>
      <c r="B71" s="17"/>
      <c r="C71" s="17"/>
      <c r="D71" s="17"/>
      <c r="E71" s="17"/>
      <c r="F71" s="17"/>
      <c r="G71" s="5"/>
      <c r="H71" s="17"/>
      <c r="I71" s="17"/>
    </row>
    <row r="72" spans="1:9" s="3" customFormat="1" ht="12" customHeight="1" x14ac:dyDescent="0.25">
      <c r="A72" s="6"/>
      <c r="B72" s="17"/>
      <c r="C72" s="17"/>
      <c r="D72" s="17"/>
      <c r="E72" s="17"/>
      <c r="F72" s="17"/>
      <c r="G72" s="5"/>
      <c r="H72" s="17"/>
      <c r="I72" s="17"/>
    </row>
    <row r="73" spans="1:9" s="3" customFormat="1" ht="12" customHeight="1" x14ac:dyDescent="0.25">
      <c r="A73" s="6"/>
      <c r="B73" s="17"/>
      <c r="C73" s="17"/>
      <c r="D73" s="17"/>
      <c r="E73" s="17"/>
      <c r="F73" s="17"/>
      <c r="G73" s="5"/>
      <c r="H73" s="17"/>
      <c r="I73" s="17"/>
    </row>
    <row r="74" spans="1:9" s="3" customFormat="1" ht="12" customHeight="1" x14ac:dyDescent="0.25">
      <c r="A74" s="7" t="s">
        <v>44</v>
      </c>
      <c r="B74" s="10">
        <f>SUM(B75:B78)</f>
        <v>1030000</v>
      </c>
      <c r="C74" s="48">
        <f>SUM(C75:C78)</f>
        <v>7029550</v>
      </c>
      <c r="D74" s="57">
        <f t="shared" ref="D74:E74" si="54">SUM(D75:D78)</f>
        <v>250000</v>
      </c>
      <c r="E74" s="48">
        <f t="shared" si="54"/>
        <v>-6249550</v>
      </c>
      <c r="F74" s="45">
        <f>SUM(F75:F78)</f>
        <v>1150000</v>
      </c>
      <c r="G74" s="10"/>
      <c r="H74" s="10">
        <f>SUM(H75:H78)</f>
        <v>1150000</v>
      </c>
      <c r="I74" s="10">
        <f>SUM(I75:I78)</f>
        <v>1150000</v>
      </c>
    </row>
    <row r="75" spans="1:9" s="3" customFormat="1" ht="12" customHeight="1" x14ac:dyDescent="0.25">
      <c r="A75" s="65" t="s">
        <v>78</v>
      </c>
      <c r="B75" s="66">
        <v>250000</v>
      </c>
      <c r="C75" s="67">
        <v>0</v>
      </c>
      <c r="D75" s="68">
        <f t="shared" ref="D75:D78" si="55">+IF((B75-C75)&gt;=0,(B75-C75),0)</f>
        <v>250000</v>
      </c>
      <c r="E75" s="67">
        <f t="shared" ref="E75:E78" si="56">+IF((B75-C75)&lt;=0,(B75-C75),0)</f>
        <v>0</v>
      </c>
      <c r="F75" s="69">
        <v>250000</v>
      </c>
      <c r="G75" s="70">
        <v>1</v>
      </c>
      <c r="H75" s="66">
        <f t="shared" ref="H75" si="57">+F75*G75</f>
        <v>250000</v>
      </c>
      <c r="I75" s="66">
        <f t="shared" ref="I75" si="58">+H75</f>
        <v>250000</v>
      </c>
    </row>
    <row r="76" spans="1:9" s="3" customFormat="1" ht="12" customHeight="1" x14ac:dyDescent="0.25">
      <c r="A76" s="35" t="s">
        <v>45</v>
      </c>
      <c r="B76" s="33">
        <v>150000</v>
      </c>
      <c r="C76" s="50">
        <f>4742400+15000</f>
        <v>4757400</v>
      </c>
      <c r="D76" s="56">
        <f t="shared" si="55"/>
        <v>0</v>
      </c>
      <c r="E76" s="50">
        <f t="shared" si="56"/>
        <v>-4607400</v>
      </c>
      <c r="F76" s="44">
        <v>200000</v>
      </c>
      <c r="G76" s="27">
        <v>1</v>
      </c>
      <c r="H76" s="33">
        <f t="shared" ref="H76" si="59">+F76*G76</f>
        <v>200000</v>
      </c>
      <c r="I76" s="33">
        <f t="shared" ref="I76" si="60">+H76</f>
        <v>200000</v>
      </c>
    </row>
    <row r="77" spans="1:9" s="3" customFormat="1" ht="12" customHeight="1" x14ac:dyDescent="0.25">
      <c r="A77" s="35" t="s">
        <v>46</v>
      </c>
      <c r="B77" s="33">
        <v>380000</v>
      </c>
      <c r="C77" s="50">
        <v>1840800</v>
      </c>
      <c r="D77" s="56">
        <f t="shared" si="55"/>
        <v>0</v>
      </c>
      <c r="E77" s="50">
        <f t="shared" si="56"/>
        <v>-1460800</v>
      </c>
      <c r="F77" s="44">
        <v>400000</v>
      </c>
      <c r="G77" s="27">
        <v>1</v>
      </c>
      <c r="H77" s="33">
        <f t="shared" ref="H77:H78" si="61">+F77*G77</f>
        <v>400000</v>
      </c>
      <c r="I77" s="33">
        <f t="shared" ref="I77:I93" si="62">+H77</f>
        <v>400000</v>
      </c>
    </row>
    <row r="78" spans="1:9" s="3" customFormat="1" ht="12" customHeight="1" x14ac:dyDescent="0.25">
      <c r="A78" s="35" t="s">
        <v>47</v>
      </c>
      <c r="B78" s="33">
        <v>250000</v>
      </c>
      <c r="C78" s="50">
        <v>431350</v>
      </c>
      <c r="D78" s="56">
        <f t="shared" si="55"/>
        <v>0</v>
      </c>
      <c r="E78" s="50">
        <f t="shared" si="56"/>
        <v>-181350</v>
      </c>
      <c r="F78" s="44">
        <v>300000</v>
      </c>
      <c r="G78" s="27">
        <v>1</v>
      </c>
      <c r="H78" s="33">
        <f t="shared" si="61"/>
        <v>300000</v>
      </c>
      <c r="I78" s="33">
        <f t="shared" si="62"/>
        <v>300000</v>
      </c>
    </row>
    <row r="79" spans="1:9" s="3" customFormat="1" ht="12" customHeight="1" x14ac:dyDescent="0.25">
      <c r="A79" s="7" t="s">
        <v>48</v>
      </c>
      <c r="B79" s="10">
        <f>SUM(B80:B81)</f>
        <v>2580000</v>
      </c>
      <c r="C79" s="48">
        <f t="shared" ref="C79" si="63">SUM(C80:C81)</f>
        <v>976000</v>
      </c>
      <c r="D79" s="57">
        <f t="shared" ref="D79:F79" si="64">SUM(D80:D81)</f>
        <v>1604000</v>
      </c>
      <c r="E79" s="48">
        <f t="shared" si="64"/>
        <v>0</v>
      </c>
      <c r="F79" s="45">
        <f t="shared" si="64"/>
        <v>200000</v>
      </c>
      <c r="G79" s="10"/>
      <c r="H79" s="10">
        <f>SUM(H80:H81)</f>
        <v>2400000</v>
      </c>
      <c r="I79" s="10">
        <f t="shared" ref="I79" si="65">SUM(I80:I81)</f>
        <v>2400000</v>
      </c>
    </row>
    <row r="80" spans="1:9" s="3" customFormat="1" ht="12" customHeight="1" x14ac:dyDescent="0.25">
      <c r="A80" s="35" t="s">
        <v>49</v>
      </c>
      <c r="B80" s="33">
        <v>2400000</v>
      </c>
      <c r="C80" s="50">
        <v>976000</v>
      </c>
      <c r="D80" s="56">
        <f t="shared" ref="D80:D81" si="66">+IF((B80-C80)&gt;=0,(B80-C80),0)</f>
        <v>1424000</v>
      </c>
      <c r="E80" s="50">
        <f t="shared" ref="E80:E81" si="67">+IF((B80-C80)&lt;=0,(B80-C80),0)</f>
        <v>0</v>
      </c>
      <c r="F80" s="44">
        <v>100000</v>
      </c>
      <c r="G80" s="27">
        <v>12</v>
      </c>
      <c r="H80" s="33">
        <f>+F80*G80</f>
        <v>1200000</v>
      </c>
      <c r="I80" s="33">
        <f t="shared" si="62"/>
        <v>1200000</v>
      </c>
    </row>
    <row r="81" spans="1:9" s="3" customFormat="1" ht="12" customHeight="1" x14ac:dyDescent="0.25">
      <c r="A81" s="35" t="s">
        <v>79</v>
      </c>
      <c r="B81" s="33">
        <v>180000</v>
      </c>
      <c r="C81" s="50">
        <v>0</v>
      </c>
      <c r="D81" s="56">
        <f t="shared" si="66"/>
        <v>180000</v>
      </c>
      <c r="E81" s="50">
        <f t="shared" si="67"/>
        <v>0</v>
      </c>
      <c r="F81" s="44">
        <v>100000</v>
      </c>
      <c r="G81" s="27">
        <v>12</v>
      </c>
      <c r="H81" s="33">
        <f>+F81*G81</f>
        <v>1200000</v>
      </c>
      <c r="I81" s="33">
        <f t="shared" ref="I81" si="68">+H81</f>
        <v>1200000</v>
      </c>
    </row>
    <row r="82" spans="1:9" s="3" customFormat="1" ht="12" customHeight="1" x14ac:dyDescent="0.25">
      <c r="A82" s="7" t="s">
        <v>50</v>
      </c>
      <c r="B82" s="10">
        <f t="shared" ref="B82:H82" si="69">SUM(B83:B91)</f>
        <v>11760000</v>
      </c>
      <c r="C82" s="48">
        <f t="shared" si="69"/>
        <v>11785369</v>
      </c>
      <c r="D82" s="57">
        <f t="shared" si="69"/>
        <v>3207768</v>
      </c>
      <c r="E82" s="48">
        <f t="shared" si="69"/>
        <v>-3233137</v>
      </c>
      <c r="F82" s="45">
        <f t="shared" si="69"/>
        <v>1860000</v>
      </c>
      <c r="G82" s="10"/>
      <c r="H82" s="10">
        <f t="shared" si="69"/>
        <v>15720000</v>
      </c>
      <c r="I82" s="10">
        <f>SUM(I83:I91)</f>
        <v>15720000</v>
      </c>
    </row>
    <row r="83" spans="1:9" s="3" customFormat="1" ht="12" customHeight="1" x14ac:dyDescent="0.25">
      <c r="A83" s="35" t="s">
        <v>97</v>
      </c>
      <c r="B83" s="33">
        <v>0</v>
      </c>
      <c r="C83" s="50">
        <v>3203137</v>
      </c>
      <c r="D83" s="56">
        <f t="shared" ref="D83" si="70">+IF((B83-C83)&gt;=0,(B83-C83),0)</f>
        <v>0</v>
      </c>
      <c r="E83" s="50">
        <f t="shared" ref="E83" si="71">+IF((B83-C83)&lt;=0,(B83-C83),0)</f>
        <v>-3203137</v>
      </c>
      <c r="F83" s="44">
        <v>300000</v>
      </c>
      <c r="G83" s="27">
        <v>12</v>
      </c>
      <c r="H83" s="33">
        <f t="shared" ref="H83" si="72">+F83*G83</f>
        <v>3600000</v>
      </c>
      <c r="I83" s="33">
        <f t="shared" ref="I83" si="73">+H83</f>
        <v>3600000</v>
      </c>
    </row>
    <row r="84" spans="1:9" s="3" customFormat="1" ht="12" customHeight="1" x14ac:dyDescent="0.25">
      <c r="A84" s="35" t="s">
        <v>51</v>
      </c>
      <c r="B84" s="33">
        <v>150000</v>
      </c>
      <c r="C84" s="50">
        <v>0</v>
      </c>
      <c r="D84" s="56">
        <f t="shared" ref="D84:D91" si="74">+IF((B84-C84)&gt;=0,(B84-C84),0)</f>
        <v>150000</v>
      </c>
      <c r="E84" s="50">
        <f t="shared" ref="E84:E91" si="75">+IF((B84-C84)&lt;=0,(B84-C84),0)</f>
        <v>0</v>
      </c>
      <c r="F84" s="44">
        <v>150000</v>
      </c>
      <c r="G84" s="27">
        <v>1</v>
      </c>
      <c r="H84" s="33">
        <f t="shared" ref="H84:H91" si="76">+F84*G84</f>
        <v>150000</v>
      </c>
      <c r="I84" s="33">
        <f t="shared" si="62"/>
        <v>150000</v>
      </c>
    </row>
    <row r="85" spans="1:9" s="3" customFormat="1" ht="12" customHeight="1" x14ac:dyDescent="0.25">
      <c r="A85" s="35" t="s">
        <v>52</v>
      </c>
      <c r="B85" s="33">
        <v>2160000</v>
      </c>
      <c r="C85" s="50">
        <v>2190000</v>
      </c>
      <c r="D85" s="56">
        <f t="shared" si="74"/>
        <v>0</v>
      </c>
      <c r="E85" s="50">
        <f t="shared" si="75"/>
        <v>-30000</v>
      </c>
      <c r="F85" s="44">
        <v>250000</v>
      </c>
      <c r="G85" s="27">
        <v>12</v>
      </c>
      <c r="H85" s="33">
        <f t="shared" si="76"/>
        <v>3000000</v>
      </c>
      <c r="I85" s="33">
        <f t="shared" si="62"/>
        <v>3000000</v>
      </c>
    </row>
    <row r="86" spans="1:9" s="3" customFormat="1" ht="12" customHeight="1" x14ac:dyDescent="0.25">
      <c r="A86" s="35" t="s">
        <v>53</v>
      </c>
      <c r="B86" s="33">
        <v>1020000</v>
      </c>
      <c r="C86" s="50">
        <v>894950</v>
      </c>
      <c r="D86" s="56">
        <f t="shared" si="74"/>
        <v>125050</v>
      </c>
      <c r="E86" s="50">
        <f t="shared" si="75"/>
        <v>0</v>
      </c>
      <c r="F86" s="44">
        <v>80000</v>
      </c>
      <c r="G86" s="27">
        <v>12</v>
      </c>
      <c r="H86" s="33">
        <f t="shared" si="76"/>
        <v>960000</v>
      </c>
      <c r="I86" s="33">
        <f t="shared" si="62"/>
        <v>960000</v>
      </c>
    </row>
    <row r="87" spans="1:9" s="3" customFormat="1" ht="12" customHeight="1" x14ac:dyDescent="0.25">
      <c r="A87" s="35" t="s">
        <v>3</v>
      </c>
      <c r="B87" s="33">
        <v>960000</v>
      </c>
      <c r="C87" s="50">
        <v>235600</v>
      </c>
      <c r="D87" s="56">
        <f t="shared" si="74"/>
        <v>724400</v>
      </c>
      <c r="E87" s="50">
        <f t="shared" si="75"/>
        <v>0</v>
      </c>
      <c r="F87" s="44">
        <v>100000</v>
      </c>
      <c r="G87" s="27">
        <v>12</v>
      </c>
      <c r="H87" s="33">
        <f t="shared" si="76"/>
        <v>1200000</v>
      </c>
      <c r="I87" s="33">
        <f t="shared" si="62"/>
        <v>1200000</v>
      </c>
    </row>
    <row r="88" spans="1:9" s="3" customFormat="1" ht="12" customHeight="1" x14ac:dyDescent="0.25">
      <c r="A88" s="35" t="s">
        <v>54</v>
      </c>
      <c r="B88" s="33">
        <v>3360000</v>
      </c>
      <c r="C88" s="50">
        <v>3099882</v>
      </c>
      <c r="D88" s="56">
        <f t="shared" si="74"/>
        <v>260118</v>
      </c>
      <c r="E88" s="50">
        <f t="shared" si="75"/>
        <v>0</v>
      </c>
      <c r="F88" s="44">
        <v>250000</v>
      </c>
      <c r="G88" s="27">
        <v>12</v>
      </c>
      <c r="H88" s="33">
        <f t="shared" si="76"/>
        <v>3000000</v>
      </c>
      <c r="I88" s="33">
        <f t="shared" si="62"/>
        <v>3000000</v>
      </c>
    </row>
    <row r="89" spans="1:9" s="3" customFormat="1" ht="12" customHeight="1" x14ac:dyDescent="0.25">
      <c r="A89" s="35" t="s">
        <v>55</v>
      </c>
      <c r="B89" s="33">
        <v>180000</v>
      </c>
      <c r="C89" s="50">
        <v>20000</v>
      </c>
      <c r="D89" s="56">
        <f t="shared" si="74"/>
        <v>160000</v>
      </c>
      <c r="E89" s="50">
        <f t="shared" si="75"/>
        <v>0</v>
      </c>
      <c r="F89" s="44">
        <v>30000</v>
      </c>
      <c r="G89" s="27">
        <v>12</v>
      </c>
      <c r="H89" s="33">
        <f t="shared" ref="H89" si="77">+F89*G89</f>
        <v>360000</v>
      </c>
      <c r="I89" s="33">
        <f t="shared" ref="I89" si="78">+H89</f>
        <v>360000</v>
      </c>
    </row>
    <row r="90" spans="1:9" s="3" customFormat="1" ht="12" customHeight="1" x14ac:dyDescent="0.25">
      <c r="A90" s="35" t="s">
        <v>56</v>
      </c>
      <c r="B90" s="33">
        <v>450000</v>
      </c>
      <c r="C90" s="50">
        <v>327000</v>
      </c>
      <c r="D90" s="56">
        <f t="shared" si="74"/>
        <v>123000</v>
      </c>
      <c r="E90" s="50">
        <f t="shared" si="75"/>
        <v>0</v>
      </c>
      <c r="F90" s="44">
        <v>450000</v>
      </c>
      <c r="G90" s="27">
        <v>1</v>
      </c>
      <c r="H90" s="33">
        <f t="shared" si="76"/>
        <v>450000</v>
      </c>
      <c r="I90" s="33">
        <f t="shared" si="62"/>
        <v>450000</v>
      </c>
    </row>
    <row r="91" spans="1:9" s="3" customFormat="1" ht="12" customHeight="1" x14ac:dyDescent="0.25">
      <c r="A91" s="35" t="s">
        <v>57</v>
      </c>
      <c r="B91" s="33">
        <v>3480000</v>
      </c>
      <c r="C91" s="50">
        <v>1814800</v>
      </c>
      <c r="D91" s="56">
        <f t="shared" si="74"/>
        <v>1665200</v>
      </c>
      <c r="E91" s="50">
        <f t="shared" si="75"/>
        <v>0</v>
      </c>
      <c r="F91" s="44">
        <v>250000</v>
      </c>
      <c r="G91" s="27">
        <v>12</v>
      </c>
      <c r="H91" s="33">
        <f t="shared" si="76"/>
        <v>3000000</v>
      </c>
      <c r="I91" s="33">
        <f t="shared" si="62"/>
        <v>3000000</v>
      </c>
    </row>
    <row r="92" spans="1:9" s="3" customFormat="1" ht="12" customHeight="1" x14ac:dyDescent="0.25">
      <c r="A92" s="7" t="s">
        <v>60</v>
      </c>
      <c r="B92" s="10">
        <f>+B93</f>
        <v>2000000</v>
      </c>
      <c r="C92" s="48">
        <f t="shared" ref="C92:I92" si="79">+C93</f>
        <v>500000</v>
      </c>
      <c r="D92" s="10">
        <f t="shared" si="79"/>
        <v>1500000</v>
      </c>
      <c r="E92" s="48">
        <f t="shared" si="79"/>
        <v>0</v>
      </c>
      <c r="F92" s="10">
        <f t="shared" si="79"/>
        <v>600000</v>
      </c>
      <c r="G92" s="10"/>
      <c r="H92" s="10">
        <f t="shared" si="79"/>
        <v>600000</v>
      </c>
      <c r="I92" s="48">
        <f t="shared" si="79"/>
        <v>600000</v>
      </c>
    </row>
    <row r="93" spans="1:9" s="3" customFormat="1" ht="12" customHeight="1" x14ac:dyDescent="0.25">
      <c r="A93" s="35" t="s">
        <v>58</v>
      </c>
      <c r="B93" s="33">
        <v>2000000</v>
      </c>
      <c r="C93" s="50">
        <v>500000</v>
      </c>
      <c r="D93" s="56">
        <f>+IF((B93-C93)&gt;=0,(B93-C93),0)</f>
        <v>1500000</v>
      </c>
      <c r="E93" s="50">
        <f>+IF((B93-C93)&lt;=0,(B93-C93),0)</f>
        <v>0</v>
      </c>
      <c r="F93" s="44">
        <v>600000</v>
      </c>
      <c r="G93" s="27">
        <v>1</v>
      </c>
      <c r="H93" s="33">
        <f>+F93*G93</f>
        <v>600000</v>
      </c>
      <c r="I93" s="33">
        <f t="shared" si="62"/>
        <v>600000</v>
      </c>
    </row>
    <row r="94" spans="1:9" s="3" customFormat="1" ht="12" customHeight="1" x14ac:dyDescent="0.25">
      <c r="A94" s="7" t="s">
        <v>98</v>
      </c>
      <c r="B94" s="10">
        <f t="shared" ref="B94" si="80">SUM(B95:B100)</f>
        <v>0</v>
      </c>
      <c r="C94" s="48">
        <f>SUM(C95:C100)</f>
        <v>3720060.0100000002</v>
      </c>
      <c r="D94" s="57">
        <f t="shared" ref="D94:I94" si="81">SUM(D95:D100)</f>
        <v>0</v>
      </c>
      <c r="E94" s="48">
        <f t="shared" si="81"/>
        <v>-3720060.0100000002</v>
      </c>
      <c r="F94" s="45">
        <f t="shared" si="81"/>
        <v>360000</v>
      </c>
      <c r="G94" s="10"/>
      <c r="H94" s="10">
        <f t="shared" si="81"/>
        <v>4320000</v>
      </c>
      <c r="I94" s="10">
        <f t="shared" si="81"/>
        <v>4320000</v>
      </c>
    </row>
    <row r="95" spans="1:9" s="3" customFormat="1" ht="12" customHeight="1" x14ac:dyDescent="0.25">
      <c r="A95" s="35" t="s">
        <v>99</v>
      </c>
      <c r="B95" s="33">
        <v>0</v>
      </c>
      <c r="C95" s="50">
        <v>397012</v>
      </c>
      <c r="D95" s="56">
        <f t="shared" ref="D95:D100" si="82">+IF((B95-C95)&gt;=0,(B95-C95),0)</f>
        <v>0</v>
      </c>
      <c r="E95" s="50">
        <f t="shared" ref="E95:E100" si="83">+IF((B95-C95)&lt;=0,(B95-C95),0)</f>
        <v>-397012</v>
      </c>
      <c r="F95" s="44">
        <v>50000</v>
      </c>
      <c r="G95" s="27">
        <v>12</v>
      </c>
      <c r="H95" s="33">
        <f t="shared" ref="H95:H100" si="84">+F95*G95</f>
        <v>600000</v>
      </c>
      <c r="I95" s="33">
        <f t="shared" ref="I95:I100" si="85">+H95</f>
        <v>600000</v>
      </c>
    </row>
    <row r="96" spans="1:9" s="3" customFormat="1" ht="12" customHeight="1" x14ac:dyDescent="0.25">
      <c r="A96" s="35" t="s">
        <v>100</v>
      </c>
      <c r="B96" s="33">
        <v>0</v>
      </c>
      <c r="C96" s="50">
        <v>1170096</v>
      </c>
      <c r="D96" s="56">
        <f t="shared" si="82"/>
        <v>0</v>
      </c>
      <c r="E96" s="50">
        <f t="shared" si="83"/>
        <v>-1170096</v>
      </c>
      <c r="F96" s="44">
        <v>100000</v>
      </c>
      <c r="G96" s="27">
        <v>12</v>
      </c>
      <c r="H96" s="33">
        <f t="shared" si="84"/>
        <v>1200000</v>
      </c>
      <c r="I96" s="33">
        <f t="shared" si="85"/>
        <v>1200000</v>
      </c>
    </row>
    <row r="97" spans="1:9" s="3" customFormat="1" ht="12" customHeight="1" x14ac:dyDescent="0.25">
      <c r="A97" s="35" t="s">
        <v>101</v>
      </c>
      <c r="B97" s="33">
        <v>0</v>
      </c>
      <c r="C97" s="50">
        <v>219785</v>
      </c>
      <c r="D97" s="56">
        <f t="shared" si="82"/>
        <v>0</v>
      </c>
      <c r="E97" s="50">
        <f t="shared" si="83"/>
        <v>-219785</v>
      </c>
      <c r="F97" s="44">
        <v>40000</v>
      </c>
      <c r="G97" s="27">
        <v>12</v>
      </c>
      <c r="H97" s="33">
        <f t="shared" si="84"/>
        <v>480000</v>
      </c>
      <c r="I97" s="33">
        <f t="shared" si="85"/>
        <v>480000</v>
      </c>
    </row>
    <row r="98" spans="1:9" s="3" customFormat="1" ht="12" customHeight="1" x14ac:dyDescent="0.25">
      <c r="A98" s="35" t="s">
        <v>102</v>
      </c>
      <c r="B98" s="33">
        <v>0</v>
      </c>
      <c r="C98" s="50">
        <v>75227</v>
      </c>
      <c r="D98" s="56">
        <f t="shared" si="82"/>
        <v>0</v>
      </c>
      <c r="E98" s="50">
        <f t="shared" si="83"/>
        <v>-75227</v>
      </c>
      <c r="F98" s="44">
        <v>10000</v>
      </c>
      <c r="G98" s="27">
        <v>12</v>
      </c>
      <c r="H98" s="33">
        <f t="shared" si="84"/>
        <v>120000</v>
      </c>
      <c r="I98" s="33">
        <f t="shared" si="85"/>
        <v>120000</v>
      </c>
    </row>
    <row r="99" spans="1:9" s="3" customFormat="1" ht="12" customHeight="1" x14ac:dyDescent="0.25">
      <c r="A99" s="35" t="s">
        <v>103</v>
      </c>
      <c r="B99" s="33"/>
      <c r="C99" s="50">
        <f>109906.39+230000+336100</f>
        <v>676006.39</v>
      </c>
      <c r="D99" s="56">
        <f t="shared" si="82"/>
        <v>0</v>
      </c>
      <c r="E99" s="50">
        <f t="shared" si="83"/>
        <v>-676006.39</v>
      </c>
      <c r="F99" s="44">
        <v>60000</v>
      </c>
      <c r="G99" s="27">
        <v>12</v>
      </c>
      <c r="H99" s="33">
        <f t="shared" si="84"/>
        <v>720000</v>
      </c>
      <c r="I99" s="33">
        <f t="shared" si="85"/>
        <v>720000</v>
      </c>
    </row>
    <row r="100" spans="1:9" s="3" customFormat="1" ht="12" customHeight="1" x14ac:dyDescent="0.25">
      <c r="A100" s="35" t="s">
        <v>105</v>
      </c>
      <c r="B100" s="33"/>
      <c r="C100" s="50">
        <f>1169933.62+12000</f>
        <v>1181933.6200000001</v>
      </c>
      <c r="D100" s="56">
        <f t="shared" si="82"/>
        <v>0</v>
      </c>
      <c r="E100" s="50">
        <f t="shared" si="83"/>
        <v>-1181933.6200000001</v>
      </c>
      <c r="F100" s="44">
        <v>100000</v>
      </c>
      <c r="G100" s="27">
        <v>12</v>
      </c>
      <c r="H100" s="33">
        <f t="shared" si="84"/>
        <v>1200000</v>
      </c>
      <c r="I100" s="33">
        <f t="shared" si="85"/>
        <v>1200000</v>
      </c>
    </row>
    <row r="101" spans="1:9" s="3" customFormat="1" ht="12" customHeight="1" x14ac:dyDescent="0.25">
      <c r="A101" s="7" t="s">
        <v>104</v>
      </c>
      <c r="B101" s="10">
        <f>SUM(B102)</f>
        <v>0</v>
      </c>
      <c r="C101" s="48">
        <f t="shared" ref="C101:I101" si="86">SUM(C102)</f>
        <v>1410243</v>
      </c>
      <c r="D101" s="57">
        <f t="shared" si="86"/>
        <v>0</v>
      </c>
      <c r="E101" s="48">
        <f t="shared" si="86"/>
        <v>-1410243</v>
      </c>
      <c r="F101" s="45">
        <f t="shared" si="86"/>
        <v>1600000</v>
      </c>
      <c r="G101" s="10"/>
      <c r="H101" s="10">
        <f t="shared" si="86"/>
        <v>0</v>
      </c>
      <c r="I101" s="10">
        <f t="shared" si="86"/>
        <v>0</v>
      </c>
    </row>
    <row r="102" spans="1:9" s="3" customFormat="1" ht="12" customHeight="1" x14ac:dyDescent="0.25">
      <c r="A102" s="35" t="s">
        <v>106</v>
      </c>
      <c r="B102" s="33"/>
      <c r="C102" s="50">
        <v>1410243</v>
      </c>
      <c r="D102" s="56">
        <f t="shared" ref="D102" si="87">+IF((B102-C102)&gt;=0,(B102-C102),0)</f>
        <v>0</v>
      </c>
      <c r="E102" s="50">
        <f t="shared" ref="E102" si="88">+IF((B102-C102)&lt;=0,(B102-C102),0)</f>
        <v>-1410243</v>
      </c>
      <c r="F102" s="44">
        <v>1600000</v>
      </c>
      <c r="G102" s="27"/>
      <c r="H102" s="33">
        <f t="shared" ref="H102" si="89">+F102*G102</f>
        <v>0</v>
      </c>
      <c r="I102" s="33">
        <f t="shared" ref="I102" si="90">+H102</f>
        <v>0</v>
      </c>
    </row>
    <row r="103" spans="1:9" s="3" customFormat="1" ht="12" customHeight="1" x14ac:dyDescent="0.25">
      <c r="A103" s="7" t="s">
        <v>7</v>
      </c>
      <c r="B103" s="10">
        <f>+B24+B38+B43+B45+B48+B52+B56+B65+B74+B79+B82</f>
        <v>143635528</v>
      </c>
      <c r="C103" s="48">
        <f>+C24+C38+C43+C45+C48+C52+C56+C65+C74+C79+C82</f>
        <v>125518952</v>
      </c>
      <c r="D103" s="57">
        <f>+D24+D38+D43+D45+D48+D52+D56+D65+D74+D79+D82</f>
        <v>34721935</v>
      </c>
      <c r="E103" s="48">
        <f>+E24+E38+E43+E45+E48+E52+E56+E65+E74+E79+E82</f>
        <v>-16605359</v>
      </c>
      <c r="F103" s="45">
        <f>+F24+F38+F43+F45+F48+F52+F56+F65+F74+F79+F82</f>
        <v>15227977</v>
      </c>
      <c r="G103" s="10"/>
      <c r="H103" s="10">
        <f>+H24+H38+H43+H45+H48+H52+H56+H65+H74+H79+H82</f>
        <v>34845093</v>
      </c>
      <c r="I103" s="10">
        <f>+I24+I38+I43+I45+I48+I52+I56+I65+I74+I79+I82</f>
        <v>139431116</v>
      </c>
    </row>
    <row r="104" spans="1:9" s="3" customFormat="1" ht="12" customHeight="1" x14ac:dyDescent="0.25">
      <c r="A104" s="7" t="s">
        <v>61</v>
      </c>
      <c r="B104" s="10">
        <f>+B92</f>
        <v>2000000</v>
      </c>
      <c r="C104" s="48">
        <f>+C92</f>
        <v>500000</v>
      </c>
      <c r="D104" s="57">
        <f>+D92</f>
        <v>1500000</v>
      </c>
      <c r="E104" s="48">
        <f>+E92</f>
        <v>0</v>
      </c>
      <c r="F104" s="45">
        <f>+F92</f>
        <v>600000</v>
      </c>
      <c r="G104" s="10"/>
      <c r="H104" s="10">
        <f>+H92</f>
        <v>600000</v>
      </c>
      <c r="I104" s="10">
        <f>+I92</f>
        <v>600000</v>
      </c>
    </row>
    <row r="105" spans="1:9" s="3" customFormat="1" ht="12" customHeight="1" x14ac:dyDescent="0.25">
      <c r="A105" s="7" t="s">
        <v>107</v>
      </c>
      <c r="B105" s="10">
        <f>+B94</f>
        <v>0</v>
      </c>
      <c r="C105" s="48">
        <f t="shared" ref="C105:H105" si="91">+C94</f>
        <v>3720060.0100000002</v>
      </c>
      <c r="D105" s="57">
        <f t="shared" si="91"/>
        <v>0</v>
      </c>
      <c r="E105" s="48">
        <f t="shared" si="91"/>
        <v>-3720060.0100000002</v>
      </c>
      <c r="F105" s="45">
        <f t="shared" si="91"/>
        <v>360000</v>
      </c>
      <c r="G105" s="10"/>
      <c r="H105" s="10">
        <f t="shared" si="91"/>
        <v>4320000</v>
      </c>
      <c r="I105" s="10">
        <f>+I94</f>
        <v>4320000</v>
      </c>
    </row>
    <row r="106" spans="1:9" s="3" customFormat="1" ht="12" customHeight="1" x14ac:dyDescent="0.25">
      <c r="A106" s="7" t="s">
        <v>108</v>
      </c>
      <c r="B106" s="10">
        <f>+B101</f>
        <v>0</v>
      </c>
      <c r="C106" s="48">
        <f t="shared" ref="C106:I106" si="92">+C101</f>
        <v>1410243</v>
      </c>
      <c r="D106" s="57">
        <f t="shared" si="92"/>
        <v>0</v>
      </c>
      <c r="E106" s="48">
        <f t="shared" si="92"/>
        <v>-1410243</v>
      </c>
      <c r="F106" s="45">
        <f t="shared" si="92"/>
        <v>1600000</v>
      </c>
      <c r="G106" s="10"/>
      <c r="H106" s="10">
        <f t="shared" si="92"/>
        <v>0</v>
      </c>
      <c r="I106" s="10">
        <f t="shared" si="92"/>
        <v>0</v>
      </c>
    </row>
    <row r="107" spans="1:9" s="3" customFormat="1" ht="12" customHeight="1" x14ac:dyDescent="0.25">
      <c r="A107" s="36" t="s">
        <v>67</v>
      </c>
      <c r="B107" s="37">
        <f>SUM(B103:B106)</f>
        <v>145635528</v>
      </c>
      <c r="C107" s="51">
        <f t="shared" ref="C107:H107" si="93">SUM(C103:C106)</f>
        <v>131149255.01000001</v>
      </c>
      <c r="D107" s="58">
        <f t="shared" si="93"/>
        <v>36221935</v>
      </c>
      <c r="E107" s="52">
        <f t="shared" si="93"/>
        <v>-21735662.010000002</v>
      </c>
      <c r="F107" s="49">
        <f t="shared" si="93"/>
        <v>17787977</v>
      </c>
      <c r="G107" s="37"/>
      <c r="H107" s="37">
        <f t="shared" si="93"/>
        <v>39765093</v>
      </c>
      <c r="I107" s="37">
        <f>SUM(I103:I106)</f>
        <v>144351116</v>
      </c>
    </row>
    <row r="108" spans="1:9" s="3" customFormat="1" ht="12" customHeight="1" x14ac:dyDescent="0.25">
      <c r="B108" s="11"/>
      <c r="C108" s="11"/>
      <c r="D108" s="11"/>
      <c r="E108" s="12"/>
      <c r="F108" s="13"/>
      <c r="G108" s="13"/>
      <c r="H108" s="11"/>
      <c r="I108" s="13"/>
    </row>
    <row r="109" spans="1:9" s="3" customFormat="1" ht="12" customHeight="1" x14ac:dyDescent="0.25">
      <c r="A109" s="76" t="s">
        <v>109</v>
      </c>
      <c r="B109" s="76"/>
      <c r="C109" s="76"/>
      <c r="D109" s="76"/>
      <c r="E109" s="76"/>
      <c r="F109" s="76"/>
      <c r="G109" s="76"/>
      <c r="H109" s="76"/>
      <c r="I109" s="37">
        <f>+I18-I107</f>
        <v>8093899</v>
      </c>
    </row>
    <row r="110" spans="1:9" s="3" customFormat="1" ht="12" customHeight="1" x14ac:dyDescent="0.25">
      <c r="B110" s="11"/>
      <c r="C110" s="11"/>
      <c r="D110" s="11"/>
      <c r="E110" s="12"/>
      <c r="F110" s="13"/>
      <c r="G110" s="13"/>
      <c r="H110" s="11"/>
      <c r="I110" s="13"/>
    </row>
    <row r="111" spans="1:9" s="3" customFormat="1" ht="14.25" customHeight="1" x14ac:dyDescent="0.25">
      <c r="A111" s="73" t="s">
        <v>93</v>
      </c>
      <c r="B111" s="73"/>
      <c r="C111" s="73"/>
      <c r="D111" s="73"/>
      <c r="E111" s="73"/>
      <c r="F111" s="73"/>
      <c r="G111" s="73"/>
      <c r="H111" s="73"/>
      <c r="I111" s="13"/>
    </row>
    <row r="112" spans="1:9" s="3" customFormat="1" ht="12" customHeight="1" x14ac:dyDescent="0.25">
      <c r="B112" s="11"/>
      <c r="C112" s="11"/>
      <c r="D112" s="11"/>
      <c r="E112" s="12"/>
      <c r="F112" s="13"/>
      <c r="G112" s="13"/>
      <c r="H112" s="11"/>
      <c r="I112" s="13"/>
    </row>
    <row r="113" spans="1:9" s="3" customFormat="1" ht="12" customHeight="1" x14ac:dyDescent="0.25">
      <c r="A113" s="39" t="s">
        <v>8</v>
      </c>
      <c r="B113" s="40" t="s">
        <v>10</v>
      </c>
      <c r="C113" s="40"/>
      <c r="D113" s="40"/>
      <c r="E113" s="41"/>
      <c r="F113" s="40" t="s">
        <v>11</v>
      </c>
      <c r="G113" s="40"/>
      <c r="H113" s="40" t="s">
        <v>12</v>
      </c>
      <c r="I113" s="13"/>
    </row>
    <row r="114" spans="1:9" s="3" customFormat="1" ht="12" customHeight="1" x14ac:dyDescent="0.25">
      <c r="A114" s="31" t="s">
        <v>62</v>
      </c>
      <c r="B114" s="32"/>
      <c r="C114" s="32"/>
      <c r="D114" s="32"/>
      <c r="E114" s="32"/>
      <c r="F114" s="42"/>
      <c r="G114" s="42"/>
      <c r="H114" s="32">
        <f>+I109</f>
        <v>8093899</v>
      </c>
      <c r="I114" s="13"/>
    </row>
    <row r="115" spans="1:9" s="3" customFormat="1" ht="12" customHeight="1" x14ac:dyDescent="0.25">
      <c r="A115" s="31"/>
      <c r="B115" s="32"/>
      <c r="C115" s="32"/>
      <c r="D115" s="32"/>
      <c r="E115" s="32"/>
      <c r="F115" s="42"/>
      <c r="G115" s="42"/>
      <c r="H115" s="32">
        <f>+B115*F115</f>
        <v>0</v>
      </c>
      <c r="I115" s="13"/>
    </row>
    <row r="116" spans="1:9" s="3" customFormat="1" ht="12" customHeight="1" x14ac:dyDescent="0.25">
      <c r="A116" s="36" t="s">
        <v>13</v>
      </c>
      <c r="B116" s="38">
        <f t="shared" ref="B116:H116" si="94">SUM(B114:B115)</f>
        <v>0</v>
      </c>
      <c r="C116" s="38"/>
      <c r="D116" s="38"/>
      <c r="E116" s="38"/>
      <c r="F116" s="41"/>
      <c r="G116" s="41"/>
      <c r="H116" s="38">
        <f t="shared" si="94"/>
        <v>8093899</v>
      </c>
      <c r="I116" s="13"/>
    </row>
    <row r="117" spans="1:9" s="3" customFormat="1" ht="12" customHeight="1" x14ac:dyDescent="0.25">
      <c r="B117" s="11"/>
      <c r="C117" s="11"/>
      <c r="D117" s="11"/>
      <c r="E117" s="12"/>
      <c r="F117" s="13"/>
      <c r="G117" s="13"/>
      <c r="H117" s="11"/>
      <c r="I117" s="13"/>
    </row>
    <row r="118" spans="1:9" s="3" customFormat="1" ht="12" customHeight="1" x14ac:dyDescent="0.25">
      <c r="B118" s="11"/>
      <c r="C118" s="11"/>
      <c r="D118" s="11"/>
      <c r="E118" s="12"/>
      <c r="F118" s="13"/>
      <c r="G118" s="13"/>
      <c r="H118" s="11"/>
      <c r="I118" s="13"/>
    </row>
    <row r="119" spans="1:9" s="3" customFormat="1" ht="14.25" customHeight="1" x14ac:dyDescent="0.25">
      <c r="A119" s="72" t="s">
        <v>116</v>
      </c>
      <c r="B119" s="72"/>
      <c r="C119" s="14"/>
      <c r="D119" s="14"/>
      <c r="E119" s="9"/>
      <c r="F119" s="15"/>
      <c r="G119" s="15"/>
      <c r="H119" s="15"/>
      <c r="I119" s="13"/>
    </row>
    <row r="120" spans="1:9" s="3" customFormat="1" ht="12" customHeight="1" x14ac:dyDescent="0.25">
      <c r="A120" s="31"/>
      <c r="B120" s="43"/>
      <c r="C120" s="16"/>
      <c r="D120" s="16"/>
      <c r="E120" s="17"/>
      <c r="F120" s="13"/>
      <c r="G120" s="13"/>
      <c r="H120" s="11"/>
      <c r="I120" s="12"/>
    </row>
    <row r="121" spans="1:9" s="3" customFormat="1" ht="12" customHeight="1" x14ac:dyDescent="0.25">
      <c r="A121" s="31" t="s">
        <v>14</v>
      </c>
      <c r="B121" s="42">
        <f>+I18</f>
        <v>152445015</v>
      </c>
      <c r="C121" s="18"/>
      <c r="D121" s="18"/>
      <c r="E121" s="18"/>
      <c r="F121" s="13"/>
      <c r="G121" s="13"/>
      <c r="H121" s="12"/>
      <c r="I121" s="12"/>
    </row>
    <row r="122" spans="1:9" s="3" customFormat="1" ht="12" customHeight="1" x14ac:dyDescent="0.25">
      <c r="A122" s="31" t="s">
        <v>15</v>
      </c>
      <c r="B122" s="42">
        <f>+I107</f>
        <v>144351116</v>
      </c>
      <c r="C122" s="18"/>
      <c r="D122" s="18"/>
      <c r="E122" s="18"/>
      <c r="F122" s="13"/>
      <c r="G122" s="13"/>
      <c r="H122" s="19"/>
      <c r="I122" s="12"/>
    </row>
    <row r="123" spans="1:9" s="3" customFormat="1" ht="12" customHeight="1" x14ac:dyDescent="0.25">
      <c r="A123" s="31" t="s">
        <v>16</v>
      </c>
      <c r="B123" s="34">
        <f>+H116</f>
        <v>8093899</v>
      </c>
      <c r="C123" s="20"/>
      <c r="D123" s="20"/>
      <c r="E123" s="18"/>
      <c r="F123" s="13"/>
      <c r="G123" s="13"/>
      <c r="H123" s="11"/>
      <c r="I123" s="12"/>
    </row>
    <row r="124" spans="1:9" s="3" customFormat="1" ht="12" customHeight="1" x14ac:dyDescent="0.25">
      <c r="A124" s="7" t="s">
        <v>17</v>
      </c>
      <c r="B124" s="29">
        <f>B121-B122-B123</f>
        <v>0</v>
      </c>
      <c r="C124" s="9"/>
      <c r="D124" s="9"/>
      <c r="E124" s="9"/>
      <c r="F124" s="13"/>
      <c r="G124" s="13"/>
      <c r="H124" s="11"/>
      <c r="I124" s="11"/>
    </row>
    <row r="126" spans="1:9" ht="12" customHeight="1" x14ac:dyDescent="0.25">
      <c r="B126" s="21"/>
      <c r="C126" s="21"/>
      <c r="D126" s="21"/>
      <c r="F126" s="22"/>
      <c r="G126" s="22"/>
      <c r="H126" s="21"/>
    </row>
    <row r="127" spans="1:9" ht="12" customHeight="1" x14ac:dyDescent="0.25">
      <c r="B127" s="21"/>
      <c r="C127" s="21"/>
      <c r="D127" s="21"/>
      <c r="F127" s="22"/>
      <c r="G127" s="22"/>
      <c r="H127" s="21"/>
    </row>
    <row r="128" spans="1:9" ht="12" customHeight="1" x14ac:dyDescent="0.25">
      <c r="A128" s="2"/>
      <c r="B128" s="24"/>
      <c r="C128" s="24"/>
      <c r="D128" s="24"/>
      <c r="E128" s="24"/>
      <c r="F128" s="25"/>
      <c r="G128" s="25"/>
      <c r="H128" s="24"/>
    </row>
  </sheetData>
  <mergeCells count="25">
    <mergeCell ref="E22:E23"/>
    <mergeCell ref="D6:D7"/>
    <mergeCell ref="E6:E7"/>
    <mergeCell ref="H22:H23"/>
    <mergeCell ref="A12:C12"/>
    <mergeCell ref="D12:D13"/>
    <mergeCell ref="E12:E13"/>
    <mergeCell ref="F12:I12"/>
    <mergeCell ref="D21:E21"/>
    <mergeCell ref="I22:I23"/>
    <mergeCell ref="A119:B119"/>
    <mergeCell ref="A111:H111"/>
    <mergeCell ref="A1:I1"/>
    <mergeCell ref="A2:I2"/>
    <mergeCell ref="A3:I3"/>
    <mergeCell ref="A109:H109"/>
    <mergeCell ref="A21:C21"/>
    <mergeCell ref="A6:C6"/>
    <mergeCell ref="F6:I6"/>
    <mergeCell ref="F21:I21"/>
    <mergeCell ref="B22:B23"/>
    <mergeCell ref="C22:C23"/>
    <mergeCell ref="F22:F23"/>
    <mergeCell ref="G22:G23"/>
    <mergeCell ref="D22:D23"/>
  </mergeCells>
  <printOptions horizontalCentered="1"/>
  <pageMargins left="0.11811023622047245" right="0.11811023622047245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2012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GERENCIA HIT</cp:lastModifiedBy>
  <cp:lastPrinted>2020-02-27T22:52:41Z</cp:lastPrinted>
  <dcterms:created xsi:type="dcterms:W3CDTF">2012-02-24T20:51:27Z</dcterms:created>
  <dcterms:modified xsi:type="dcterms:W3CDTF">2020-10-14T23:46:50Z</dcterms:modified>
</cp:coreProperties>
</file>